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<sst xmlns="http://schemas.openxmlformats.org/spreadsheetml/2006/main" count="281" uniqueCount="182">
  <si>
    <t>Благодійні пожертви,що були отримані від фізичних та юр. Осіб</t>
  </si>
  <si>
    <t>Використання благодійних пожертв, отриманих у грошовій та натуральній (товари та послуги) формі</t>
  </si>
  <si>
    <t>Всього отримано благодійних пожертв, тис. грн.</t>
  </si>
  <si>
    <t>Період</t>
  </si>
  <si>
    <t>Найменування юрид. Особи (або позначення фіз. Особи)</t>
  </si>
  <si>
    <t>В грошовій формі, тис. грн.</t>
  </si>
  <si>
    <t>Перелік товарів і послуг в натуральній формі</t>
  </si>
  <si>
    <t>Напрямки використання в грошовій формі( стаття витрат)</t>
  </si>
  <si>
    <t>Сума,   тис. грн</t>
  </si>
  <si>
    <t>Перелік використаних товарів і послуг в натуральній формі</t>
  </si>
  <si>
    <t>В натуральній формі (товари і посл) тис. грн.</t>
  </si>
  <si>
    <t>Залишок невикористаних грошових коштів,товарів та послуг на кінець звітного періоду, тис. грн.</t>
  </si>
  <si>
    <t>про надходження і використання благодійних пожертв від фізичних та юридичних осіб</t>
  </si>
  <si>
    <t>ІНФОРМАЦІЯ</t>
  </si>
  <si>
    <t>Додаток</t>
  </si>
  <si>
    <t>до наказу  МОЗ України</t>
  </si>
  <si>
    <t>25.07.2017. № 848</t>
  </si>
  <si>
    <t>Аквадетрим Вітамін D3. 15000 МО/мл  по 10 мл у фл.з кап.дозат. №1</t>
  </si>
  <si>
    <t>Добровдії БО БФ</t>
  </si>
  <si>
    <t>ФОП Ворожко В.І</t>
  </si>
  <si>
    <t>Дріжджі</t>
  </si>
  <si>
    <t>Разом за 4 квартал 2018 р.</t>
  </si>
  <si>
    <t>Від  населення</t>
  </si>
  <si>
    <t>OSB плита</t>
  </si>
  <si>
    <t>Бак 300 л</t>
  </si>
  <si>
    <t>Бойлер</t>
  </si>
  <si>
    <t>Відро нерж.</t>
  </si>
  <si>
    <t>Відро пластмасове</t>
  </si>
  <si>
    <t>Відсмоктувач медичний "Біомед"</t>
  </si>
  <si>
    <t>Водонагрiвач</t>
  </si>
  <si>
    <t>Дезинфікуючий засіб 5 л</t>
  </si>
  <si>
    <t>Диван б/у</t>
  </si>
  <si>
    <t>Картина</t>
  </si>
  <si>
    <t>Кокон дитячій (гніздо)</t>
  </si>
  <si>
    <t>Конфорка для плити</t>
  </si>
  <si>
    <t>Крісло-качалка</t>
  </si>
  <si>
    <t>Ліжко дитяче б/у</t>
  </si>
  <si>
    <t>Лінолеум 3 м</t>
  </si>
  <si>
    <t>Ложка алюмин.</t>
  </si>
  <si>
    <t>Ложка столова</t>
  </si>
  <si>
    <t>Ложка чайная</t>
  </si>
  <si>
    <t>Лопата снеговая</t>
  </si>
  <si>
    <t>Люстра</t>
  </si>
  <si>
    <t>Матрац</t>
  </si>
  <si>
    <t>Метла</t>
  </si>
  <si>
    <t>Набір кухоних меблів</t>
  </si>
  <si>
    <t>Нож</t>
  </si>
  <si>
    <t>Опромiнювач бактерицид.ОБПе-225</t>
  </si>
  <si>
    <t>Педiатричне дитяче лiжко</t>
  </si>
  <si>
    <t>Пелюшки</t>
  </si>
  <si>
    <t>Плитка кахельна</t>
  </si>
  <si>
    <t>Покривало</t>
  </si>
  <si>
    <t>Пральна машина-автомат</t>
  </si>
  <si>
    <t>Пральний порошок</t>
  </si>
  <si>
    <t>Раскладушка</t>
  </si>
  <si>
    <t>Решетка металева</t>
  </si>
  <si>
    <t>Рукав пожарный</t>
  </si>
  <si>
    <t>Стiл манипуляцiйний</t>
  </si>
  <si>
    <t>Стіл кутовий</t>
  </si>
  <si>
    <t>Стіл письмовий</t>
  </si>
  <si>
    <t>Стіл розділочний</t>
  </si>
  <si>
    <t>Стілець</t>
  </si>
  <si>
    <t>Стілець для масажу</t>
  </si>
  <si>
    <t xml:space="preserve">Сумка-холодильник </t>
  </si>
  <si>
    <t>Табуретка</t>
  </si>
  <si>
    <t>Табуретка дитяча</t>
  </si>
  <si>
    <t>Телевізор б/у</t>
  </si>
  <si>
    <t>Тумба з  мойкою</t>
  </si>
  <si>
    <t>Тумбочка</t>
  </si>
  <si>
    <t>Холодильник "Ардо"</t>
  </si>
  <si>
    <t>ТОВ"МЕДЕВЕЙ, платник БО"МБФ"Допомогати просто"</t>
  </si>
  <si>
    <t>Електрохірургічний апарат ARC-350(REF900-351)</t>
  </si>
  <si>
    <t>БО" Міжнародній благодійний фонд "Центр Соціальних проектів майбутнього"</t>
  </si>
  <si>
    <t>Шафа холодильна MSU400 Tefcoold</t>
  </si>
  <si>
    <t>Сумський центр соціально-психологічної реабалатації дітей області</t>
  </si>
  <si>
    <t>Ааудіометрична система</t>
  </si>
  <si>
    <t>Аудіометр партативний</t>
  </si>
  <si>
    <t>Воронка вушна</t>
  </si>
  <si>
    <t>Вушной пінцет</t>
  </si>
  <si>
    <t>Гачек для  видалення строронього тіла</t>
  </si>
  <si>
    <t>Дзеркало гортанне</t>
  </si>
  <si>
    <t>Засіб для миття 1 л.</t>
  </si>
  <si>
    <t>Засіб для миття 10 л.</t>
  </si>
  <si>
    <t>Засіб для миття 20 л.</t>
  </si>
  <si>
    <t>Засіб для миття 30 л.</t>
  </si>
  <si>
    <t>Засіб для миття 5 л.</t>
  </si>
  <si>
    <t>Засіб чистячій 2,2 кг.</t>
  </si>
  <si>
    <t>Затискач</t>
  </si>
  <si>
    <t>Захісний крем для рук</t>
  </si>
  <si>
    <t>Захоплюючі щіпці</t>
  </si>
  <si>
    <t>Компресор для дихального апарату</t>
  </si>
  <si>
    <t>Крахмал для прання 24 кг.</t>
  </si>
  <si>
    <t>Крісло пацієнта</t>
  </si>
  <si>
    <t>ЛОР установка "АТМАС" Servant -3</t>
  </si>
  <si>
    <t>ЛОР установка "АТМАС" Servant -4</t>
  </si>
  <si>
    <t>Миючий засіб для рук 4 л.</t>
  </si>
  <si>
    <t>Миючий засіб для рук 5 л.</t>
  </si>
  <si>
    <t>Мікроскоп "ZEISS" OPMI-9</t>
  </si>
  <si>
    <t>Одноразовий стакан</t>
  </si>
  <si>
    <t>Одноразові полотенця № 4</t>
  </si>
  <si>
    <t>Пакети з ручками паперові № 200</t>
  </si>
  <si>
    <t>Памперси  дитячі № 72</t>
  </si>
  <si>
    <t>Папір туалетний</t>
  </si>
  <si>
    <t>Рукавички технічні № 100</t>
  </si>
  <si>
    <t xml:space="preserve">Скарифікатор № 100 </t>
  </si>
  <si>
    <t>Скарифікатор № 200</t>
  </si>
  <si>
    <t>Стакан мірний</t>
  </si>
  <si>
    <t>Стілець лікаря</t>
  </si>
  <si>
    <t>Тарілки одноразові</t>
  </si>
  <si>
    <t>Чистячі  ароматизатор 250 мл</t>
  </si>
  <si>
    <t>Чистячі для видалення запаху 100 мл</t>
  </si>
  <si>
    <t>Чистячій засiб</t>
  </si>
  <si>
    <t>Шафа велика дерев'яна біла</t>
  </si>
  <si>
    <t>Щітка для прибирання</t>
  </si>
  <si>
    <t>СОБФ"Хельвеція"</t>
  </si>
  <si>
    <t>Корсет для хребта</t>
  </si>
  <si>
    <t>Шафа</t>
  </si>
  <si>
    <t>Ліжко багатофункцiйне</t>
  </si>
  <si>
    <t>Стіл</t>
  </si>
  <si>
    <t xml:space="preserve">Інвалiдний вiзок </t>
  </si>
  <si>
    <t>Матрац великий</t>
  </si>
  <si>
    <t>Фартук просвиньований</t>
  </si>
  <si>
    <t>Штани</t>
  </si>
  <si>
    <t>ТОВ "КСЕНКО", платник БО Всеукраїнський БФ"Допомогати просто"</t>
  </si>
  <si>
    <t>Пульсоксиметр Rad 8</t>
  </si>
  <si>
    <t>Насос шприцевий  інфузійний SEP-21S Plus</t>
  </si>
  <si>
    <t xml:space="preserve">БФ технологія </t>
  </si>
  <si>
    <t>Підгузки (3-6 кг) 44 шт</t>
  </si>
  <si>
    <t xml:space="preserve">Пелюшки гігієнічні №30   </t>
  </si>
  <si>
    <t>Підгузки дитячі (15+кг)  №54</t>
  </si>
  <si>
    <t>Підгузки (0-2 кг) № 46</t>
  </si>
  <si>
    <t xml:space="preserve">Разом </t>
  </si>
  <si>
    <t>БФ Свято-Миколаївський</t>
  </si>
  <si>
    <t>Шприці  5,0 одноразові</t>
  </si>
  <si>
    <t>Шприці 10,0 одноразові</t>
  </si>
  <si>
    <t>Шприці 2,0 одноразові</t>
  </si>
  <si>
    <t>Шприці 20,0 одноразові</t>
  </si>
  <si>
    <t>Голка для аспірації кісткового мозку 14G*35 мм</t>
  </si>
  <si>
    <t>ТАЗПЕН  пор.ліоф. д/р-ну д/ін. та інф. 4 г/0,5 г фл. №1</t>
  </si>
  <si>
    <t>Шприц 50 мл 3-х комп.з голкою</t>
  </si>
  <si>
    <t>Шприц 20 мл 3-х комп.з голкою</t>
  </si>
  <si>
    <t>Шприц 10 мл 3-х комп.з голкою</t>
  </si>
  <si>
    <t>Пластирь д/фіксації катетерів Тагадерм 3М 6*7</t>
  </si>
  <si>
    <t>Катетер (канюля) в/в G22</t>
  </si>
  <si>
    <t>Канюля в/в типу  G 26</t>
  </si>
  <si>
    <t>Канюля в/в типу  G 24</t>
  </si>
  <si>
    <t>Меронем 1000мг№10</t>
  </si>
  <si>
    <t>Бліцеф пор, д. р-ра д/ін 1000 мг фл №10</t>
  </si>
  <si>
    <t>Біовен Моно р-н д\ін.100мл.фл.№1</t>
  </si>
  <si>
    <t>Вальтрекс, табл по 500 мг №10(10*1)</t>
  </si>
  <si>
    <t>Голка для аспірації кісткового мозку 15G*30мм</t>
  </si>
  <si>
    <t>Голка для аспірації кісткового мозку 16G*35мм</t>
  </si>
  <si>
    <t>Дексаметазон 4мг/мл №25</t>
  </si>
  <si>
    <t>Маннит р-р 15% фл 200 мл</t>
  </si>
  <si>
    <t>Борщагівський ХФЗ ПАТ НВЦ</t>
  </si>
  <si>
    <t>Аксотилін розч д/ін 500 мг 4 мл №5*2</t>
  </si>
  <si>
    <t>Алердез сироп 0,5 мг/мл 100 мл</t>
  </si>
  <si>
    <t>Алердез таб в/о 5 мг №10</t>
  </si>
  <si>
    <t>Ніфуроксазид суспензія 220 мг/5мл 100 мл</t>
  </si>
  <si>
    <t>ПП НАТУР СВІТ</t>
  </si>
  <si>
    <t>Зипелор спрей д/ротов полости 0,15% фл 30 мл №1</t>
  </si>
  <si>
    <t>Зипелор форте спрей д/ротов полости 0,3% фл 30 мл №1</t>
  </si>
  <si>
    <t>Каметон спрей балон 25 г</t>
  </si>
  <si>
    <t>Лидокаин спрей 10% фл 38 г</t>
  </si>
  <si>
    <t>Окомістин 0,01% по 5мл №1</t>
  </si>
  <si>
    <t>Перекис водню 3% по 100мл</t>
  </si>
  <si>
    <t>Септефрил табл 0,2 мг №10</t>
  </si>
  <si>
    <t>Синтомицин линимент 5% туба 25г №1</t>
  </si>
  <si>
    <t>Форинекс спрей назал 50 мкг/доза фл 140 доз №1</t>
  </si>
  <si>
    <t>Харківський автогенний завод ПАТ</t>
  </si>
  <si>
    <t>Кисень медичний газоподібний 10л</t>
  </si>
  <si>
    <t>Упц Конотопська Єпархія</t>
  </si>
  <si>
    <t>Галичфарм АТ</t>
  </si>
  <si>
    <t>Пробіланс для дітей,порошок для перорального застосув., саше №10</t>
  </si>
  <si>
    <t>Пробіланс капсули №20</t>
  </si>
  <si>
    <t>ТОВ Ново Нордікс Україна</t>
  </si>
  <si>
    <t>Тресіба Флекстач3мл №5</t>
  </si>
  <si>
    <t>Благодійна допомога від населення</t>
  </si>
  <si>
    <r>
      <t>КНП СОР " Обласна дитяча клінічна лікарня" за</t>
    </r>
    <r>
      <rPr>
        <b/>
        <sz val="12"/>
        <rFont val="Arial Cyr"/>
        <family val="0"/>
      </rPr>
      <t xml:space="preserve"> ІІІ квартал 2020 року</t>
    </r>
  </si>
  <si>
    <t>Овочі</t>
  </si>
  <si>
    <t>ТОВ Нутріція Україна</t>
  </si>
  <si>
    <t>Молочні суміші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</si>
</sst>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0"/>
    <numFmt numFmtId="181" formatCode="0.0"/>
    <numFmt numFmtId="182" formatCode="0.000"/>
    <numFmt numFmtId="183" formatCode="#,##0.000"/>
    <numFmt numFmtId="184" formatCode="#,##0.0000"/>
    <numFmt numFmtId="185" formatCode="0.0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7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2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55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0" xfId="54" applyNumberFormat="1" applyFont="1" applyBorder="1" applyAlignment="1">
      <alignment horizontal="center" vertical="top" wrapText="1"/>
      <protection/>
    </xf>
    <xf numFmtId="0" fontId="2" fillId="0" borderId="11" xfId="54" applyNumberFormat="1" applyFont="1" applyBorder="1" applyAlignment="1">
      <alignment horizontal="center" vertical="top" wrapText="1"/>
      <protection/>
    </xf>
    <xf numFmtId="0" fontId="0" fillId="0" borderId="10" xfId="0" applyFont="1" applyFill="1" applyBorder="1" applyAlignment="1">
      <alignment/>
    </xf>
    <xf numFmtId="2" fontId="10" fillId="0" borderId="10" xfId="53" applyNumberFormat="1" applyFont="1" applyBorder="1" applyAlignment="1">
      <alignment horizontal="center" vertical="center" wrapText="1"/>
      <protection/>
    </xf>
    <xf numFmtId="0" fontId="2" fillId="0" borderId="10" xfId="54" applyNumberFormat="1" applyFont="1" applyBorder="1" applyAlignment="1">
      <alignment vertical="top" wrapText="1"/>
      <protection/>
    </xf>
    <xf numFmtId="2" fontId="2" fillId="0" borderId="10" xfId="54" applyNumberFormat="1" applyFont="1" applyBorder="1" applyAlignment="1">
      <alignment horizontal="center" vertical="center" wrapText="1"/>
      <protection/>
    </xf>
    <xf numFmtId="0" fontId="2" fillId="0" borderId="11" xfId="54" applyNumberFormat="1" applyFont="1" applyBorder="1" applyAlignment="1">
      <alignment horizontal="center" vertical="center" wrapText="1"/>
      <protection/>
    </xf>
    <xf numFmtId="0" fontId="2" fillId="0" borderId="10" xfId="55" applyNumberFormat="1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1" xfId="53" applyNumberFormat="1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 horizontal="center" vertical="center"/>
    </xf>
    <xf numFmtId="4" fontId="2" fillId="0" borderId="10" xfId="54" applyNumberFormat="1" applyFont="1" applyFill="1" applyBorder="1" applyAlignment="1">
      <alignment vertical="center"/>
      <protection/>
    </xf>
    <xf numFmtId="2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" fontId="2" fillId="0" borderId="10" xfId="54" applyNumberFormat="1" applyFont="1" applyFill="1" applyBorder="1" applyAlignment="1">
      <alignment vertical="center" wrapText="1"/>
      <protection/>
    </xf>
    <xf numFmtId="182" fontId="2" fillId="0" borderId="10" xfId="54" applyNumberFormat="1" applyFont="1" applyBorder="1" applyAlignment="1">
      <alignment horizontal="center" vertical="top" wrapText="1"/>
      <protection/>
    </xf>
    <xf numFmtId="182" fontId="10" fillId="0" borderId="10" xfId="53" applyNumberFormat="1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0" fillId="0" borderId="13" xfId="53" applyNumberFormat="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182" fontId="1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53" applyNumberFormat="1" applyFont="1" applyBorder="1" applyAlignment="1">
      <alignment wrapText="1"/>
      <protection/>
    </xf>
    <xf numFmtId="182" fontId="11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183" fontId="11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82" fontId="2" fillId="0" borderId="10" xfId="0" applyNumberFormat="1" applyFont="1" applyFill="1" applyBorder="1" applyAlignment="1">
      <alignment horizontal="center" vertical="center"/>
    </xf>
    <xf numFmtId="0" fontId="2" fillId="0" borderId="11" xfId="54" applyNumberFormat="1" applyFont="1" applyFill="1" applyBorder="1" applyAlignment="1">
      <alignment vertical="top" wrapText="1"/>
      <protection/>
    </xf>
    <xf numFmtId="0" fontId="2" fillId="0" borderId="11" xfId="55" applyNumberFormat="1" applyFont="1" applyFill="1" applyBorder="1" applyAlignment="1">
      <alignment vertical="top" wrapText="1"/>
      <protection/>
    </xf>
    <xf numFmtId="0" fontId="2" fillId="0" borderId="11" xfId="54" applyNumberFormat="1" applyFont="1" applyFill="1" applyBorder="1" applyAlignment="1">
      <alignment vertical="center" wrapText="1"/>
      <protection/>
    </xf>
    <xf numFmtId="0" fontId="10" fillId="0" borderId="11" xfId="53" applyNumberFormat="1" applyFont="1" applyFill="1" applyBorder="1" applyAlignment="1">
      <alignment vertical="center" wrapText="1"/>
      <protection/>
    </xf>
    <xf numFmtId="0" fontId="10" fillId="0" borderId="11" xfId="55" applyNumberFormat="1" applyFont="1" applyFill="1" applyBorder="1" applyAlignment="1">
      <alignment vertical="center" wrapText="1"/>
      <protection/>
    </xf>
    <xf numFmtId="0" fontId="10" fillId="0" borderId="10" xfId="55" applyNumberFormat="1" applyFont="1" applyFill="1" applyBorder="1" applyAlignment="1">
      <alignment vertical="center" wrapText="1"/>
      <protection/>
    </xf>
    <xf numFmtId="182" fontId="0" fillId="0" borderId="1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52" applyNumberFormat="1" applyFont="1" applyBorder="1" applyAlignment="1">
      <alignment horizontal="left" vertical="top" wrapText="1" indent="2"/>
      <protection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2" xfId="55" applyNumberFormat="1" applyFont="1" applyFill="1" applyBorder="1" applyAlignment="1">
      <alignment horizontal="left" vertical="center" wrapText="1"/>
      <protection/>
    </xf>
    <xf numFmtId="0" fontId="2" fillId="0" borderId="14" xfId="55" applyNumberFormat="1" applyFont="1" applyFill="1" applyBorder="1" applyAlignment="1">
      <alignment horizontal="left" vertical="center" wrapText="1"/>
      <protection/>
    </xf>
    <xf numFmtId="0" fontId="2" fillId="0" borderId="10" xfId="55" applyNumberFormat="1" applyFont="1" applyFill="1" applyBorder="1" applyAlignment="1">
      <alignment horizontal="left" vertical="center" wrapText="1"/>
      <protection/>
    </xf>
    <xf numFmtId="0" fontId="2" fillId="0" borderId="15" xfId="55" applyNumberFormat="1" applyFont="1" applyFill="1" applyBorder="1" applyAlignment="1">
      <alignment horizontal="left" vertical="center" wrapText="1"/>
      <protection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2" fillId="0" borderId="10" xfId="52" applyNumberFormat="1" applyFont="1" applyBorder="1" applyAlignment="1">
      <alignment horizontal="left" vertical="top" wrapText="1" indent="2"/>
      <protection/>
    </xf>
    <xf numFmtId="0" fontId="2" fillId="0" borderId="10" xfId="53" applyNumberFormat="1" applyFont="1" applyFill="1" applyBorder="1" applyAlignment="1">
      <alignment wrapText="1"/>
      <protection/>
    </xf>
    <xf numFmtId="0" fontId="2" fillId="0" borderId="18" xfId="52" applyNumberFormat="1" applyFont="1" applyBorder="1" applyAlignment="1">
      <alignment horizontal="left" vertical="top" wrapText="1" indent="2"/>
      <protection/>
    </xf>
    <xf numFmtId="0" fontId="8" fillId="0" borderId="12" xfId="53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82" fontId="6" fillId="0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Обычный_Лист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8" sqref="H8"/>
    </sheetView>
  </sheetViews>
  <sheetFormatPr defaultColWidth="9.00390625" defaultRowHeight="12.75"/>
  <cols>
    <col min="1" max="1" width="6.375" style="2" customWidth="1"/>
    <col min="2" max="2" width="19.75390625" style="2" customWidth="1"/>
    <col min="3" max="3" width="13.625" style="2" customWidth="1"/>
    <col min="4" max="4" width="12.375" style="2" customWidth="1"/>
    <col min="5" max="5" width="29.125" style="2" customWidth="1"/>
    <col min="6" max="6" width="11.125" style="2" customWidth="1"/>
    <col min="7" max="7" width="9.125" style="2" customWidth="1"/>
    <col min="8" max="8" width="27.375" style="2" customWidth="1"/>
    <col min="9" max="9" width="10.00390625" style="2" customWidth="1"/>
    <col min="10" max="10" width="11.375" style="2" customWidth="1"/>
    <col min="11" max="16384" width="9.125" style="2" customWidth="1"/>
  </cols>
  <sheetData>
    <row r="1" spans="9:10" s="1" customFormat="1" ht="12.75">
      <c r="I1" s="80" t="s">
        <v>14</v>
      </c>
      <c r="J1" s="80"/>
    </row>
    <row r="2" spans="9:10" s="1" customFormat="1" ht="12.75">
      <c r="I2" s="81" t="s">
        <v>15</v>
      </c>
      <c r="J2" s="81"/>
    </row>
    <row r="3" spans="3:9" s="1" customFormat="1" ht="15.75">
      <c r="C3" s="6"/>
      <c r="D3" s="6"/>
      <c r="E3" s="83" t="s">
        <v>13</v>
      </c>
      <c r="F3" s="83"/>
      <c r="G3" s="6"/>
      <c r="H3" s="6"/>
      <c r="I3" s="1" t="s">
        <v>16</v>
      </c>
    </row>
    <row r="4" spans="3:8" s="1" customFormat="1" ht="15">
      <c r="C4" s="82" t="s">
        <v>12</v>
      </c>
      <c r="D4" s="82"/>
      <c r="E4" s="82"/>
      <c r="F4" s="82"/>
      <c r="G4" s="82"/>
      <c r="H4" s="82"/>
    </row>
    <row r="5" spans="3:8" s="1" customFormat="1" ht="15.75">
      <c r="C5" s="82" t="s">
        <v>178</v>
      </c>
      <c r="D5" s="82"/>
      <c r="E5" s="82"/>
      <c r="F5" s="82"/>
      <c r="G5" s="82"/>
      <c r="H5" s="82"/>
    </row>
    <row r="6" s="1" customFormat="1" ht="12.75"/>
    <row r="7" spans="1:10" s="1" customFormat="1" ht="34.5" customHeight="1">
      <c r="A7" s="92" t="s">
        <v>3</v>
      </c>
      <c r="B7" s="79" t="s">
        <v>4</v>
      </c>
      <c r="C7" s="79" t="s">
        <v>0</v>
      </c>
      <c r="D7" s="79"/>
      <c r="E7" s="79"/>
      <c r="F7" s="91" t="s">
        <v>2</v>
      </c>
      <c r="G7" s="79" t="s">
        <v>1</v>
      </c>
      <c r="H7" s="79"/>
      <c r="I7" s="79"/>
      <c r="J7" s="79" t="s">
        <v>11</v>
      </c>
    </row>
    <row r="8" spans="1:10" s="1" customFormat="1" ht="92.25" customHeight="1">
      <c r="A8" s="92"/>
      <c r="B8" s="79"/>
      <c r="C8" s="3" t="s">
        <v>5</v>
      </c>
      <c r="D8" s="9" t="s">
        <v>10</v>
      </c>
      <c r="E8" s="9" t="s">
        <v>6</v>
      </c>
      <c r="F8" s="91"/>
      <c r="G8" s="3" t="s">
        <v>7</v>
      </c>
      <c r="H8" s="9" t="s">
        <v>9</v>
      </c>
      <c r="I8" s="3" t="s">
        <v>8</v>
      </c>
      <c r="J8" s="79"/>
    </row>
    <row r="9" spans="1:10" ht="39" customHeight="1" hidden="1">
      <c r="A9" s="93"/>
      <c r="B9" s="98" t="s">
        <v>177</v>
      </c>
      <c r="C9" s="5"/>
      <c r="D9" s="42"/>
      <c r="E9" s="46"/>
      <c r="F9" s="42"/>
      <c r="G9" s="42">
        <v>2220</v>
      </c>
      <c r="H9" s="46" t="s">
        <v>17</v>
      </c>
      <c r="I9" s="45"/>
      <c r="J9" s="42"/>
    </row>
    <row r="10" spans="1:10" ht="17.25" customHeight="1">
      <c r="A10" s="93"/>
      <c r="B10" s="99"/>
      <c r="C10" s="5"/>
      <c r="D10" s="53">
        <f>1186/1000</f>
        <v>1.186</v>
      </c>
      <c r="E10" s="95" t="s">
        <v>145</v>
      </c>
      <c r="F10" s="53">
        <f>1186/1000</f>
        <v>1.186</v>
      </c>
      <c r="G10" s="42">
        <v>2220</v>
      </c>
      <c r="H10" s="95" t="s">
        <v>145</v>
      </c>
      <c r="I10" s="53">
        <f>F10-J10</f>
        <v>1.186</v>
      </c>
      <c r="J10" s="53">
        <f>0/1000</f>
        <v>0</v>
      </c>
    </row>
    <row r="11" spans="1:10" ht="27" customHeight="1" hidden="1">
      <c r="A11" s="93"/>
      <c r="B11" s="99"/>
      <c r="C11" s="5"/>
      <c r="D11" s="42"/>
      <c r="E11" s="96"/>
      <c r="F11" s="42"/>
      <c r="G11" s="42">
        <v>2220</v>
      </c>
      <c r="H11" s="96"/>
      <c r="I11" s="53">
        <f aca="true" t="shared" si="0" ref="I11:I21">F11-J11</f>
        <v>0</v>
      </c>
      <c r="J11" s="42"/>
    </row>
    <row r="12" spans="1:10" ht="15.75" customHeight="1">
      <c r="A12" s="93"/>
      <c r="B12" s="99"/>
      <c r="C12" s="5"/>
      <c r="D12" s="53">
        <f>1276/1000</f>
        <v>1.276</v>
      </c>
      <c r="E12" s="95" t="s">
        <v>144</v>
      </c>
      <c r="F12" s="53">
        <f>1276/1000</f>
        <v>1.276</v>
      </c>
      <c r="G12" s="42">
        <v>2220</v>
      </c>
      <c r="H12" s="95" t="s">
        <v>144</v>
      </c>
      <c r="I12" s="53">
        <f t="shared" si="0"/>
        <v>1.276</v>
      </c>
      <c r="J12" s="53">
        <f>0/1000</f>
        <v>0</v>
      </c>
    </row>
    <row r="13" spans="1:10" ht="26.25" customHeight="1">
      <c r="A13" s="93"/>
      <c r="B13" s="99"/>
      <c r="C13" s="5"/>
      <c r="D13" s="53">
        <f>296.5/1000</f>
        <v>0.2965</v>
      </c>
      <c r="E13" s="95" t="s">
        <v>143</v>
      </c>
      <c r="F13" s="53">
        <f>296.5/1000</f>
        <v>0.2965</v>
      </c>
      <c r="G13" s="42">
        <v>2220</v>
      </c>
      <c r="H13" s="95" t="s">
        <v>143</v>
      </c>
      <c r="I13" s="53">
        <f t="shared" si="0"/>
        <v>0.2965</v>
      </c>
      <c r="J13" s="53">
        <f>0/1000</f>
        <v>0</v>
      </c>
    </row>
    <row r="14" spans="1:10" ht="27" customHeight="1">
      <c r="A14" s="93"/>
      <c r="B14" s="99"/>
      <c r="C14" s="5"/>
      <c r="D14" s="53">
        <f>5589/1000</f>
        <v>5.589</v>
      </c>
      <c r="E14" s="95" t="s">
        <v>142</v>
      </c>
      <c r="F14" s="53">
        <f>5589/1000</f>
        <v>5.589</v>
      </c>
      <c r="G14" s="42">
        <v>2220</v>
      </c>
      <c r="H14" s="95" t="s">
        <v>142</v>
      </c>
      <c r="I14" s="53">
        <f t="shared" si="0"/>
        <v>5.589</v>
      </c>
      <c r="J14" s="53">
        <f>0/1000</f>
        <v>0</v>
      </c>
    </row>
    <row r="15" spans="1:10" ht="26.25" customHeight="1">
      <c r="A15" s="93"/>
      <c r="B15" s="99"/>
      <c r="C15" s="5"/>
      <c r="D15" s="53">
        <f>127/1000</f>
        <v>0.127</v>
      </c>
      <c r="E15" s="95" t="s">
        <v>141</v>
      </c>
      <c r="F15" s="53">
        <f>127/1000</f>
        <v>0.127</v>
      </c>
      <c r="G15" s="42">
        <v>2220</v>
      </c>
      <c r="H15" s="95" t="s">
        <v>141</v>
      </c>
      <c r="I15" s="53">
        <f t="shared" si="0"/>
        <v>0.127</v>
      </c>
      <c r="J15" s="53">
        <f>0/1000</f>
        <v>0</v>
      </c>
    </row>
    <row r="16" spans="1:10" ht="17.25" customHeight="1">
      <c r="A16" s="93"/>
      <c r="B16" s="99"/>
      <c r="C16" s="5"/>
      <c r="D16" s="53">
        <f>990/1000</f>
        <v>0.99</v>
      </c>
      <c r="E16" s="95" t="s">
        <v>140</v>
      </c>
      <c r="F16" s="53">
        <f>990/1000</f>
        <v>0.99</v>
      </c>
      <c r="G16" s="42">
        <v>2220</v>
      </c>
      <c r="H16" s="95" t="s">
        <v>140</v>
      </c>
      <c r="I16" s="53">
        <f t="shared" si="0"/>
        <v>0.99</v>
      </c>
      <c r="J16" s="53">
        <f>0/1000</f>
        <v>0</v>
      </c>
    </row>
    <row r="17" spans="1:10" ht="27" customHeight="1">
      <c r="A17" s="93"/>
      <c r="B17" s="99"/>
      <c r="C17" s="5"/>
      <c r="D17" s="53">
        <f>2376/1000</f>
        <v>2.376</v>
      </c>
      <c r="E17" s="95" t="s">
        <v>139</v>
      </c>
      <c r="F17" s="53">
        <f>2376/1000</f>
        <v>2.376</v>
      </c>
      <c r="G17" s="42">
        <v>2220</v>
      </c>
      <c r="H17" s="95" t="s">
        <v>139</v>
      </c>
      <c r="I17" s="53">
        <f t="shared" si="0"/>
        <v>2.34036</v>
      </c>
      <c r="J17" s="53">
        <f>35.64/1000</f>
        <v>0.03564</v>
      </c>
    </row>
    <row r="18" spans="1:10" ht="28.5" customHeight="1">
      <c r="A18" s="93"/>
      <c r="B18" s="99"/>
      <c r="C18" s="5"/>
      <c r="D18" s="53">
        <f>588.2/1000</f>
        <v>0.5882000000000001</v>
      </c>
      <c r="E18" s="95" t="s">
        <v>133</v>
      </c>
      <c r="F18" s="53">
        <f>588.2/1000</f>
        <v>0.5882000000000001</v>
      </c>
      <c r="G18" s="42">
        <v>2220</v>
      </c>
      <c r="H18" s="95" t="s">
        <v>133</v>
      </c>
      <c r="I18" s="53">
        <f t="shared" si="0"/>
        <v>0.5426000000000001</v>
      </c>
      <c r="J18" s="53">
        <f>45.6/1000</f>
        <v>0.0456</v>
      </c>
    </row>
    <row r="19" spans="1:10" ht="17.25" customHeight="1">
      <c r="A19" s="93"/>
      <c r="B19" s="99"/>
      <c r="C19" s="5"/>
      <c r="D19" s="53">
        <f>1103.82/1000</f>
        <v>1.10382</v>
      </c>
      <c r="E19" s="95" t="s">
        <v>134</v>
      </c>
      <c r="F19" s="53">
        <f>1103.82/1000</f>
        <v>1.10382</v>
      </c>
      <c r="G19" s="42">
        <v>2220</v>
      </c>
      <c r="H19" s="95" t="s">
        <v>134</v>
      </c>
      <c r="I19" s="53">
        <f t="shared" si="0"/>
        <v>1.05902</v>
      </c>
      <c r="J19" s="53">
        <f>44.8/1000</f>
        <v>0.0448</v>
      </c>
    </row>
    <row r="20" spans="1:10" ht="26.25" customHeight="1">
      <c r="A20" s="93"/>
      <c r="B20" s="99"/>
      <c r="C20" s="5"/>
      <c r="D20" s="53">
        <f>400/1000</f>
        <v>0.4</v>
      </c>
      <c r="E20" s="95" t="s">
        <v>135</v>
      </c>
      <c r="F20" s="53">
        <f>400/1000</f>
        <v>0.4</v>
      </c>
      <c r="G20" s="42">
        <v>2220</v>
      </c>
      <c r="H20" s="95" t="s">
        <v>135</v>
      </c>
      <c r="I20" s="53">
        <f t="shared" si="0"/>
        <v>0.391</v>
      </c>
      <c r="J20" s="53">
        <f>9/1000</f>
        <v>0.009</v>
      </c>
    </row>
    <row r="21" spans="1:10" ht="25.5" customHeight="1">
      <c r="A21" s="93"/>
      <c r="B21" s="100"/>
      <c r="C21" s="5"/>
      <c r="D21" s="53">
        <f>1516.4/1000</f>
        <v>1.5164000000000002</v>
      </c>
      <c r="E21" s="95" t="s">
        <v>136</v>
      </c>
      <c r="F21" s="53">
        <f>1516.4/1000</f>
        <v>1.5164000000000002</v>
      </c>
      <c r="G21" s="42">
        <v>2220</v>
      </c>
      <c r="H21" s="95" t="s">
        <v>136</v>
      </c>
      <c r="I21" s="53">
        <f t="shared" si="0"/>
        <v>1.5164000000000002</v>
      </c>
      <c r="J21" s="53">
        <f>0/1000</f>
        <v>0</v>
      </c>
    </row>
    <row r="22" spans="1:10" ht="17.25" customHeight="1">
      <c r="A22" s="94"/>
      <c r="B22" s="90" t="s">
        <v>18</v>
      </c>
      <c r="C22" s="7"/>
      <c r="D22" s="60">
        <f>59337/1000</f>
        <v>59.337</v>
      </c>
      <c r="E22" s="95" t="s">
        <v>146</v>
      </c>
      <c r="F22" s="60">
        <f>59337/1000</f>
        <v>59.337</v>
      </c>
      <c r="G22" s="42">
        <v>2220</v>
      </c>
      <c r="H22" s="95" t="s">
        <v>146</v>
      </c>
      <c r="I22" s="45">
        <f>F22-J22</f>
        <v>59.337</v>
      </c>
      <c r="J22" s="60">
        <v>0</v>
      </c>
    </row>
    <row r="23" spans="1:10" ht="25.5" customHeight="1">
      <c r="A23" s="94"/>
      <c r="B23" s="90"/>
      <c r="C23" s="7"/>
      <c r="D23" s="37">
        <f>2054/1000</f>
        <v>2.054</v>
      </c>
      <c r="E23" s="95" t="s">
        <v>147</v>
      </c>
      <c r="F23" s="37">
        <f>2054/1000</f>
        <v>2.054</v>
      </c>
      <c r="G23" s="42">
        <v>2220</v>
      </c>
      <c r="H23" s="95" t="s">
        <v>147</v>
      </c>
      <c r="I23" s="45">
        <f>F23-J23</f>
        <v>0</v>
      </c>
      <c r="J23" s="60">
        <v>2.054</v>
      </c>
    </row>
    <row r="24" spans="1:10" ht="21" customHeight="1">
      <c r="A24" s="94"/>
      <c r="B24" s="70" t="s">
        <v>126</v>
      </c>
      <c r="C24" s="7"/>
      <c r="D24" s="37"/>
      <c r="E24" s="63"/>
      <c r="F24" s="37"/>
      <c r="G24" s="42">
        <v>2220</v>
      </c>
      <c r="H24" s="63"/>
      <c r="I24" s="45"/>
      <c r="J24" s="37"/>
    </row>
    <row r="25" spans="1:10" ht="24.75" customHeight="1">
      <c r="A25" s="94"/>
      <c r="B25" s="71"/>
      <c r="C25" s="7"/>
      <c r="D25" s="37">
        <f>16894.52/1000</f>
        <v>16.89452</v>
      </c>
      <c r="E25" s="95" t="s">
        <v>148</v>
      </c>
      <c r="F25" s="37">
        <f>16894.52/1000</f>
        <v>16.89452</v>
      </c>
      <c r="G25" s="42">
        <v>2220</v>
      </c>
      <c r="H25" s="95" t="s">
        <v>148</v>
      </c>
      <c r="I25" s="53">
        <f>F25-J25</f>
        <v>16.89452</v>
      </c>
      <c r="J25" s="60">
        <f>0/1000</f>
        <v>0</v>
      </c>
    </row>
    <row r="26" spans="1:10" ht="25.5" customHeight="1">
      <c r="A26" s="94"/>
      <c r="B26" s="71"/>
      <c r="C26" s="7"/>
      <c r="D26" s="37">
        <f>232.73/1000</f>
        <v>0.23273</v>
      </c>
      <c r="E26" s="95" t="s">
        <v>149</v>
      </c>
      <c r="F26" s="37">
        <f>232.73/1000</f>
        <v>0.23273</v>
      </c>
      <c r="G26" s="42">
        <v>2220</v>
      </c>
      <c r="H26" s="95" t="s">
        <v>149</v>
      </c>
      <c r="I26" s="53">
        <f>F26-J26</f>
        <v>0.23273</v>
      </c>
      <c r="J26" s="60">
        <f>0/1000</f>
        <v>0</v>
      </c>
    </row>
    <row r="27" spans="1:10" ht="25.5" customHeight="1">
      <c r="A27" s="94"/>
      <c r="B27" s="72" t="s">
        <v>132</v>
      </c>
      <c r="C27" s="7"/>
      <c r="D27" s="53">
        <f>3914/1000</f>
        <v>3.914</v>
      </c>
      <c r="E27" s="95" t="s">
        <v>147</v>
      </c>
      <c r="F27" s="53">
        <f>3914/1000</f>
        <v>3.914</v>
      </c>
      <c r="G27" s="42">
        <v>2220</v>
      </c>
      <c r="H27" s="95" t="s">
        <v>147</v>
      </c>
      <c r="I27" s="53">
        <f>F27-J27</f>
        <v>3.202</v>
      </c>
      <c r="J27" s="53">
        <f>712/1000</f>
        <v>0.712</v>
      </c>
    </row>
    <row r="28" spans="1:10" ht="26.25" customHeight="1">
      <c r="A28" s="94"/>
      <c r="B28" s="73"/>
      <c r="C28" s="7"/>
      <c r="D28" s="53">
        <f>2018.75/1000</f>
        <v>2.01875</v>
      </c>
      <c r="E28" s="95" t="s">
        <v>137</v>
      </c>
      <c r="F28" s="53">
        <f>2018.75/1000</f>
        <v>2.01875</v>
      </c>
      <c r="G28" s="42">
        <v>2220</v>
      </c>
      <c r="H28" s="95" t="s">
        <v>137</v>
      </c>
      <c r="I28" s="53">
        <f>F28-J28</f>
        <v>1.2112499999999997</v>
      </c>
      <c r="J28" s="53">
        <f>807.5/1000</f>
        <v>0.8075</v>
      </c>
    </row>
    <row r="29" spans="1:10" ht="25.5" customHeight="1">
      <c r="A29" s="94"/>
      <c r="B29" s="73"/>
      <c r="C29" s="7"/>
      <c r="D29" s="53">
        <f>1615/1000</f>
        <v>1.615</v>
      </c>
      <c r="E29" s="95" t="s">
        <v>150</v>
      </c>
      <c r="F29" s="53">
        <f>1615/1000</f>
        <v>1.615</v>
      </c>
      <c r="G29" s="42">
        <v>2220</v>
      </c>
      <c r="H29" s="95" t="s">
        <v>150</v>
      </c>
      <c r="I29" s="53">
        <f>F29-J29</f>
        <v>0</v>
      </c>
      <c r="J29" s="53">
        <f>1615/1000</f>
        <v>1.615</v>
      </c>
    </row>
    <row r="30" spans="1:10" ht="27.75" customHeight="1">
      <c r="A30" s="94"/>
      <c r="B30" s="73"/>
      <c r="C30" s="7"/>
      <c r="D30" s="53">
        <f>1211.25/1000</f>
        <v>1.21125</v>
      </c>
      <c r="E30" s="95" t="s">
        <v>151</v>
      </c>
      <c r="F30" s="53">
        <f>1211.25/1000</f>
        <v>1.21125</v>
      </c>
      <c r="G30" s="42">
        <v>2220</v>
      </c>
      <c r="H30" s="95" t="s">
        <v>151</v>
      </c>
      <c r="I30" s="53">
        <f>F30-J30</f>
        <v>1.21125</v>
      </c>
      <c r="J30" s="53">
        <f>0/1000</f>
        <v>0</v>
      </c>
    </row>
    <row r="31" spans="1:10" ht="25.5" customHeight="1">
      <c r="A31" s="94"/>
      <c r="B31" s="68"/>
      <c r="C31" s="7"/>
      <c r="D31" s="53">
        <f>1853.8/1000</f>
        <v>1.8538</v>
      </c>
      <c r="E31" s="95" t="s">
        <v>152</v>
      </c>
      <c r="F31" s="53">
        <f>1853.8/1000</f>
        <v>1.8538</v>
      </c>
      <c r="G31" s="42">
        <v>2220</v>
      </c>
      <c r="H31" s="95" t="s">
        <v>152</v>
      </c>
      <c r="I31" s="53">
        <f>F31-J31</f>
        <v>1.6163599999999998</v>
      </c>
      <c r="J31" s="53">
        <f>237.44/1000</f>
        <v>0.23743999999999998</v>
      </c>
    </row>
    <row r="32" spans="1:10" ht="24" customHeight="1">
      <c r="A32" s="94"/>
      <c r="B32" s="69"/>
      <c r="C32" s="7"/>
      <c r="D32" s="53">
        <f>210/1000</f>
        <v>0.21</v>
      </c>
      <c r="E32" s="63" t="s">
        <v>153</v>
      </c>
      <c r="F32" s="53">
        <f>210/1000</f>
        <v>0.21</v>
      </c>
      <c r="G32" s="42">
        <v>2220</v>
      </c>
      <c r="H32" s="63" t="s">
        <v>153</v>
      </c>
      <c r="I32" s="53">
        <f>F32-J32</f>
        <v>0.21</v>
      </c>
      <c r="J32" s="53">
        <f>0/1000</f>
        <v>0</v>
      </c>
    </row>
    <row r="33" spans="1:10" ht="24.75" customHeight="1">
      <c r="A33" s="94"/>
      <c r="B33" s="72" t="s">
        <v>154</v>
      </c>
      <c r="C33" s="7"/>
      <c r="D33" s="53">
        <f>2600/1000</f>
        <v>2.6</v>
      </c>
      <c r="E33" s="63" t="s">
        <v>155</v>
      </c>
      <c r="F33" s="53">
        <f>2600/1000</f>
        <v>2.6</v>
      </c>
      <c r="G33" s="42">
        <v>2220</v>
      </c>
      <c r="H33" s="63" t="s">
        <v>155</v>
      </c>
      <c r="I33" s="53">
        <f>F33-J33</f>
        <v>0.78</v>
      </c>
      <c r="J33" s="53">
        <f>1820/1000</f>
        <v>1.82</v>
      </c>
    </row>
    <row r="34" spans="1:10" ht="24" customHeight="1">
      <c r="A34" s="94"/>
      <c r="B34" s="73"/>
      <c r="C34" s="7"/>
      <c r="D34" s="53">
        <f>357/1000</f>
        <v>0.357</v>
      </c>
      <c r="E34" s="63" t="s">
        <v>156</v>
      </c>
      <c r="F34" s="53">
        <f>357/1000</f>
        <v>0.357</v>
      </c>
      <c r="G34" s="42">
        <v>2220</v>
      </c>
      <c r="H34" s="63" t="s">
        <v>156</v>
      </c>
      <c r="I34" s="53">
        <f>F34-J34</f>
        <v>0.007649999999999935</v>
      </c>
      <c r="J34" s="53">
        <f>349.35/1000</f>
        <v>0.34935000000000005</v>
      </c>
    </row>
    <row r="35" spans="1:10" ht="19.5" customHeight="1">
      <c r="A35" s="94"/>
      <c r="B35" s="73"/>
      <c r="C35" s="7"/>
      <c r="D35" s="53">
        <f>58/1000</f>
        <v>0.058</v>
      </c>
      <c r="E35" s="63" t="s">
        <v>157</v>
      </c>
      <c r="F35" s="53">
        <f>58/1000</f>
        <v>0.058</v>
      </c>
      <c r="G35" s="42">
        <v>2220</v>
      </c>
      <c r="H35" s="63" t="s">
        <v>157</v>
      </c>
      <c r="I35" s="53">
        <f>F35-J35</f>
        <v>0.008700000000000006</v>
      </c>
      <c r="J35" s="53">
        <f>49.3/1000</f>
        <v>0.0493</v>
      </c>
    </row>
    <row r="36" spans="1:10" ht="25.5" customHeight="1">
      <c r="A36" s="94"/>
      <c r="B36" s="73"/>
      <c r="C36" s="7"/>
      <c r="D36" s="53">
        <f>775/1000</f>
        <v>0.775</v>
      </c>
      <c r="E36" s="63" t="s">
        <v>158</v>
      </c>
      <c r="F36" s="53">
        <f>775/1000</f>
        <v>0.775</v>
      </c>
      <c r="G36" s="42">
        <v>2220</v>
      </c>
      <c r="H36" s="63" t="s">
        <v>158</v>
      </c>
      <c r="I36" s="53">
        <f>F36-J36</f>
        <v>0.2309500000000001</v>
      </c>
      <c r="J36" s="53">
        <f>544.05/1000</f>
        <v>0.5440499999999999</v>
      </c>
    </row>
    <row r="37" spans="1:10" ht="26.25" customHeight="1">
      <c r="A37" s="94"/>
      <c r="B37" s="74" t="s">
        <v>159</v>
      </c>
      <c r="C37" s="7"/>
      <c r="D37" s="53">
        <f>532/1000</f>
        <v>0.532</v>
      </c>
      <c r="E37" s="95" t="s">
        <v>160</v>
      </c>
      <c r="F37" s="53">
        <f>532/1000</f>
        <v>0.532</v>
      </c>
      <c r="G37" s="42">
        <v>2220</v>
      </c>
      <c r="H37" s="95" t="s">
        <v>160</v>
      </c>
      <c r="I37" s="53">
        <f>F37-J37</f>
        <v>0.532</v>
      </c>
      <c r="J37" s="53">
        <f>0/1000</f>
        <v>0</v>
      </c>
    </row>
    <row r="38" spans="1:10" ht="26.25" customHeight="1">
      <c r="A38" s="94"/>
      <c r="B38" s="74"/>
      <c r="C38" s="7"/>
      <c r="D38" s="53">
        <f>532/1000</f>
        <v>0.532</v>
      </c>
      <c r="E38" s="95" t="s">
        <v>161</v>
      </c>
      <c r="F38" s="53">
        <f>532/1000</f>
        <v>0.532</v>
      </c>
      <c r="G38" s="42">
        <v>2220</v>
      </c>
      <c r="H38" s="95" t="s">
        <v>161</v>
      </c>
      <c r="I38" s="53">
        <f aca="true" t="shared" si="1" ref="I38:I45">F38-J38</f>
        <v>0.133</v>
      </c>
      <c r="J38" s="53">
        <f>399/1000</f>
        <v>0.399</v>
      </c>
    </row>
    <row r="39" spans="1:10" ht="19.5" customHeight="1">
      <c r="A39" s="94"/>
      <c r="B39" s="78"/>
      <c r="C39" s="7"/>
      <c r="D39" s="53">
        <f>165/1000</f>
        <v>0.165</v>
      </c>
      <c r="E39" s="95" t="s">
        <v>162</v>
      </c>
      <c r="F39" s="53">
        <f>165/1000</f>
        <v>0.165</v>
      </c>
      <c r="G39" s="42">
        <v>2220</v>
      </c>
      <c r="H39" s="95" t="s">
        <v>162</v>
      </c>
      <c r="I39" s="53">
        <f t="shared" si="1"/>
        <v>0.066</v>
      </c>
      <c r="J39" s="53">
        <f>99/1000</f>
        <v>0.099</v>
      </c>
    </row>
    <row r="40" spans="1:10" ht="21.75" customHeight="1">
      <c r="A40" s="94"/>
      <c r="B40" s="78"/>
      <c r="C40" s="7"/>
      <c r="D40" s="53">
        <f>476/1000</f>
        <v>0.476</v>
      </c>
      <c r="E40" s="95" t="s">
        <v>163</v>
      </c>
      <c r="F40" s="53">
        <f>476/1000</f>
        <v>0.476</v>
      </c>
      <c r="G40" s="42">
        <v>2220</v>
      </c>
      <c r="H40" s="95" t="s">
        <v>163</v>
      </c>
      <c r="I40" s="53">
        <f t="shared" si="1"/>
        <v>0.476</v>
      </c>
      <c r="J40" s="53">
        <f>0/1000</f>
        <v>0</v>
      </c>
    </row>
    <row r="41" spans="1:10" ht="20.25" customHeight="1">
      <c r="A41" s="94"/>
      <c r="B41" s="78"/>
      <c r="C41" s="7"/>
      <c r="D41" s="53">
        <f>265/1000</f>
        <v>0.265</v>
      </c>
      <c r="E41" s="95" t="s">
        <v>164</v>
      </c>
      <c r="F41" s="53">
        <f>265/1000</f>
        <v>0.265</v>
      </c>
      <c r="G41" s="42">
        <v>2220</v>
      </c>
      <c r="H41" s="95" t="s">
        <v>164</v>
      </c>
      <c r="I41" s="53">
        <f t="shared" si="1"/>
        <v>0.265</v>
      </c>
      <c r="J41" s="53">
        <f>0/1000</f>
        <v>0</v>
      </c>
    </row>
    <row r="42" spans="1:10" ht="27" customHeight="1">
      <c r="A42" s="94"/>
      <c r="B42" s="78"/>
      <c r="C42" s="7"/>
      <c r="D42" s="53">
        <f>60/1000</f>
        <v>0.06</v>
      </c>
      <c r="E42" s="95" t="s">
        <v>165</v>
      </c>
      <c r="F42" s="53">
        <f>60/1000</f>
        <v>0.06</v>
      </c>
      <c r="G42" s="42">
        <v>2220</v>
      </c>
      <c r="H42" s="95" t="s">
        <v>165</v>
      </c>
      <c r="I42" s="53">
        <f t="shared" si="1"/>
        <v>0.024</v>
      </c>
      <c r="J42" s="53">
        <f>36/1000</f>
        <v>0.036</v>
      </c>
    </row>
    <row r="43" spans="1:10" ht="26.25" customHeight="1">
      <c r="A43" s="94"/>
      <c r="B43" s="78"/>
      <c r="C43" s="7"/>
      <c r="D43" s="53">
        <f>90/1000</f>
        <v>0.09</v>
      </c>
      <c r="E43" s="95" t="s">
        <v>166</v>
      </c>
      <c r="F43" s="53">
        <f>90/1000</f>
        <v>0.09</v>
      </c>
      <c r="G43" s="42">
        <v>2220</v>
      </c>
      <c r="H43" s="95" t="s">
        <v>166</v>
      </c>
      <c r="I43" s="53">
        <f t="shared" si="1"/>
        <v>0.09</v>
      </c>
      <c r="J43" s="53">
        <f>0/1000</f>
        <v>0</v>
      </c>
    </row>
    <row r="44" spans="1:10" ht="26.25" customHeight="1">
      <c r="A44" s="94"/>
      <c r="B44" s="78"/>
      <c r="C44" s="7"/>
      <c r="D44" s="53">
        <f>60/1000</f>
        <v>0.06</v>
      </c>
      <c r="E44" s="95" t="s">
        <v>167</v>
      </c>
      <c r="F44" s="53">
        <f>60/1000</f>
        <v>0.06</v>
      </c>
      <c r="G44" s="42">
        <v>2220</v>
      </c>
      <c r="H44" s="95" t="s">
        <v>167</v>
      </c>
      <c r="I44" s="53">
        <f t="shared" si="1"/>
        <v>0.03</v>
      </c>
      <c r="J44" s="53">
        <f>30/1000</f>
        <v>0.03</v>
      </c>
    </row>
    <row r="45" spans="1:10" ht="28.5" customHeight="1">
      <c r="A45" s="94"/>
      <c r="B45" s="78"/>
      <c r="C45" s="7"/>
      <c r="D45" s="53">
        <f>920/1000</f>
        <v>0.92</v>
      </c>
      <c r="E45" s="95" t="s">
        <v>168</v>
      </c>
      <c r="F45" s="53">
        <f>920/1000</f>
        <v>0.92</v>
      </c>
      <c r="G45" s="42">
        <v>2220</v>
      </c>
      <c r="H45" s="95" t="s">
        <v>168</v>
      </c>
      <c r="I45" s="53">
        <f t="shared" si="1"/>
        <v>0.6900000000000001</v>
      </c>
      <c r="J45" s="53">
        <f>230/1000</f>
        <v>0.23</v>
      </c>
    </row>
    <row r="46" spans="1:10" ht="39.75" customHeight="1">
      <c r="A46" s="94"/>
      <c r="B46" s="62" t="s">
        <v>169</v>
      </c>
      <c r="C46" s="7"/>
      <c r="D46" s="53">
        <f>270/1000</f>
        <v>0.27</v>
      </c>
      <c r="E46" s="95" t="s">
        <v>170</v>
      </c>
      <c r="F46" s="53">
        <f>270/1000</f>
        <v>0.27</v>
      </c>
      <c r="G46" s="42">
        <v>2220</v>
      </c>
      <c r="H46" s="97" t="s">
        <v>170</v>
      </c>
      <c r="I46" s="53">
        <f>F46-J46</f>
        <v>0.27</v>
      </c>
      <c r="J46" s="53">
        <f>0/1000</f>
        <v>0</v>
      </c>
    </row>
    <row r="47" spans="1:10" ht="51" customHeight="1">
      <c r="A47" s="94"/>
      <c r="B47" s="67" t="s">
        <v>172</v>
      </c>
      <c r="C47" s="7"/>
      <c r="D47" s="53">
        <f>99630/1000</f>
        <v>99.63</v>
      </c>
      <c r="E47" s="95" t="s">
        <v>173</v>
      </c>
      <c r="F47" s="53">
        <f>99630/1000</f>
        <v>99.63</v>
      </c>
      <c r="G47" s="42">
        <v>2220</v>
      </c>
      <c r="H47" s="95" t="s">
        <v>173</v>
      </c>
      <c r="I47" s="53">
        <f>F47-J47</f>
        <v>15.852239999999995</v>
      </c>
      <c r="J47" s="53">
        <f>83777.76/1000</f>
        <v>83.77776</v>
      </c>
    </row>
    <row r="48" spans="1:10" ht="18" customHeight="1">
      <c r="A48" s="94"/>
      <c r="B48" s="69"/>
      <c r="C48" s="7"/>
      <c r="D48" s="53">
        <f>12500/1000</f>
        <v>12.5</v>
      </c>
      <c r="E48" s="95" t="s">
        <v>174</v>
      </c>
      <c r="F48" s="53">
        <f>12500/1000</f>
        <v>12.5</v>
      </c>
      <c r="G48" s="42">
        <v>2220</v>
      </c>
      <c r="H48" s="95" t="s">
        <v>174</v>
      </c>
      <c r="I48" s="53">
        <f>F48-J48</f>
        <v>3.9562500000000007</v>
      </c>
      <c r="J48" s="53">
        <f>8543.75/1000</f>
        <v>8.54375</v>
      </c>
    </row>
    <row r="49" spans="1:10" ht="24.75" customHeight="1">
      <c r="A49" s="94"/>
      <c r="B49" s="61" t="s">
        <v>175</v>
      </c>
      <c r="C49" s="7"/>
      <c r="D49" s="53">
        <f>8189.8/1000</f>
        <v>8.1898</v>
      </c>
      <c r="E49" s="97" t="s">
        <v>176</v>
      </c>
      <c r="F49" s="53">
        <f>8189.8/1000</f>
        <v>8.1898</v>
      </c>
      <c r="G49" s="42">
        <v>2220</v>
      </c>
      <c r="H49" s="97" t="s">
        <v>176</v>
      </c>
      <c r="I49" s="53">
        <f>F49-J49</f>
        <v>1.3357999999999999</v>
      </c>
      <c r="J49" s="53">
        <f>6854/1000</f>
        <v>6.854</v>
      </c>
    </row>
    <row r="50" spans="1:10" ht="22.5" customHeight="1">
      <c r="A50" s="94"/>
      <c r="B50" s="67" t="s">
        <v>171</v>
      </c>
      <c r="C50" s="7"/>
      <c r="D50" s="53">
        <f>55737/1000</f>
        <v>55.737</v>
      </c>
      <c r="E50" s="95" t="s">
        <v>146</v>
      </c>
      <c r="F50" s="53">
        <f>55737/1000</f>
        <v>55.737</v>
      </c>
      <c r="G50" s="42">
        <v>2220</v>
      </c>
      <c r="H50" s="95" t="s">
        <v>146</v>
      </c>
      <c r="I50" s="45">
        <f>F50-J50</f>
        <v>0</v>
      </c>
      <c r="J50" s="53">
        <f>55737/1000</f>
        <v>55.737</v>
      </c>
    </row>
    <row r="51" spans="1:10" ht="37.5" customHeight="1">
      <c r="A51" s="94"/>
      <c r="B51" s="68"/>
      <c r="C51" s="7"/>
      <c r="D51" s="53">
        <f>32010/1000</f>
        <v>32.01</v>
      </c>
      <c r="E51" s="97" t="s">
        <v>138</v>
      </c>
      <c r="F51" s="53">
        <f>32010/1000</f>
        <v>32.01</v>
      </c>
      <c r="G51" s="42">
        <v>2220</v>
      </c>
      <c r="H51" s="97" t="s">
        <v>138</v>
      </c>
      <c r="I51" s="45">
        <f>F51-J51</f>
        <v>9.36</v>
      </c>
      <c r="J51" s="53">
        <f>22650/1000</f>
        <v>22.65</v>
      </c>
    </row>
    <row r="52" spans="1:10" ht="17.25" customHeight="1">
      <c r="A52" s="94"/>
      <c r="B52" s="13" t="s">
        <v>131</v>
      </c>
      <c r="C52" s="8"/>
      <c r="D52" s="43">
        <f>SUM(D10:D51)</f>
        <v>320.01677</v>
      </c>
      <c r="E52" s="43"/>
      <c r="F52" s="43">
        <f>SUM(F10:F51)</f>
        <v>320.01677</v>
      </c>
      <c r="G52" s="43"/>
      <c r="H52" s="43"/>
      <c r="I52" s="43">
        <f>SUM(I10:I51)</f>
        <v>133.33658000000003</v>
      </c>
      <c r="J52" s="43">
        <f>SUM(J10:J51)</f>
        <v>186.68019</v>
      </c>
    </row>
    <row r="53" spans="1:10" s="11" customFormat="1" ht="14.25" customHeight="1" hidden="1">
      <c r="A53" s="88"/>
      <c r="B53" s="12" t="s">
        <v>19</v>
      </c>
      <c r="C53" s="8"/>
      <c r="D53" s="43">
        <v>0.08</v>
      </c>
      <c r="E53" s="52" t="s">
        <v>20</v>
      </c>
      <c r="F53" s="45">
        <v>0.08</v>
      </c>
      <c r="G53" s="42">
        <v>2230</v>
      </c>
      <c r="H53" s="51"/>
      <c r="I53" s="45">
        <f>F53-J53</f>
        <v>0.075</v>
      </c>
      <c r="J53" s="49">
        <v>0.005</v>
      </c>
    </row>
    <row r="54" spans="1:10" s="10" customFormat="1" ht="15.75" hidden="1">
      <c r="A54" s="89"/>
      <c r="B54" s="13" t="s">
        <v>131</v>
      </c>
      <c r="C54" s="8">
        <f>C53</f>
        <v>0</v>
      </c>
      <c r="D54" s="43">
        <f>D53</f>
        <v>0.08</v>
      </c>
      <c r="E54" s="47"/>
      <c r="F54" s="43">
        <f>F53</f>
        <v>0.08</v>
      </c>
      <c r="G54" s="47"/>
      <c r="H54" s="44"/>
      <c r="I54" s="43">
        <f>I53</f>
        <v>0.075</v>
      </c>
      <c r="J54" s="47">
        <f>J53</f>
        <v>0.005</v>
      </c>
    </row>
    <row r="55" spans="1:10" ht="12.75" hidden="1">
      <c r="A55" s="89"/>
      <c r="B55" s="14" t="s">
        <v>22</v>
      </c>
      <c r="C55" s="15"/>
      <c r="D55" s="16">
        <v>1.08</v>
      </c>
      <c r="E55" s="54" t="s">
        <v>23</v>
      </c>
      <c r="F55" s="17">
        <v>1.08</v>
      </c>
      <c r="G55" s="18">
        <v>2210</v>
      </c>
      <c r="H55" s="19" t="str">
        <f aca="true" t="shared" si="2" ref="H55:I86">E55</f>
        <v>OSB плита</v>
      </c>
      <c r="I55" s="20">
        <f t="shared" si="2"/>
        <v>1.08</v>
      </c>
      <c r="J55" s="21"/>
    </row>
    <row r="56" spans="1:10" ht="12.75" hidden="1">
      <c r="A56" s="89"/>
      <c r="B56" s="14" t="s">
        <v>22</v>
      </c>
      <c r="C56" s="15"/>
      <c r="D56" s="16">
        <v>0.35</v>
      </c>
      <c r="E56" s="55" t="s">
        <v>24</v>
      </c>
      <c r="F56" s="17">
        <v>0.35</v>
      </c>
      <c r="G56" s="18">
        <v>2210</v>
      </c>
      <c r="H56" s="15" t="str">
        <f t="shared" si="2"/>
        <v>Бак 300 л</v>
      </c>
      <c r="I56" s="20">
        <f t="shared" si="2"/>
        <v>0.35</v>
      </c>
      <c r="J56" s="21"/>
    </row>
    <row r="57" spans="1:10" ht="12.75" hidden="1">
      <c r="A57" s="89"/>
      <c r="B57" s="14" t="s">
        <v>22</v>
      </c>
      <c r="C57" s="15"/>
      <c r="D57" s="16">
        <v>4.5</v>
      </c>
      <c r="E57" s="55" t="s">
        <v>25</v>
      </c>
      <c r="F57" s="17">
        <v>4.5</v>
      </c>
      <c r="G57" s="18">
        <v>2210</v>
      </c>
      <c r="H57" s="15" t="str">
        <f t="shared" si="2"/>
        <v>Бойлер</v>
      </c>
      <c r="I57" s="20">
        <f t="shared" si="2"/>
        <v>4.5</v>
      </c>
      <c r="J57" s="21"/>
    </row>
    <row r="58" spans="1:10" ht="12.75" hidden="1">
      <c r="A58" s="89"/>
      <c r="B58" s="14" t="s">
        <v>22</v>
      </c>
      <c r="C58" s="15"/>
      <c r="D58" s="16">
        <v>0.64</v>
      </c>
      <c r="E58" s="55" t="s">
        <v>26</v>
      </c>
      <c r="F58" s="17">
        <v>0.64</v>
      </c>
      <c r="G58" s="18">
        <v>2210</v>
      </c>
      <c r="H58" s="15" t="str">
        <f t="shared" si="2"/>
        <v>Відро нерж.</v>
      </c>
      <c r="I58" s="20">
        <f t="shared" si="2"/>
        <v>0.64</v>
      </c>
      <c r="J58" s="21"/>
    </row>
    <row r="59" spans="1:10" ht="12.75" hidden="1">
      <c r="A59" s="89"/>
      <c r="B59" s="14" t="s">
        <v>22</v>
      </c>
      <c r="C59" s="15"/>
      <c r="D59" s="16">
        <v>0.24</v>
      </c>
      <c r="E59" s="55" t="s">
        <v>27</v>
      </c>
      <c r="F59" s="17">
        <v>0.24</v>
      </c>
      <c r="G59" s="18">
        <v>2210</v>
      </c>
      <c r="H59" s="15" t="str">
        <f t="shared" si="2"/>
        <v>Відро пластмасове</v>
      </c>
      <c r="I59" s="20">
        <f t="shared" si="2"/>
        <v>0.24</v>
      </c>
      <c r="J59" s="21"/>
    </row>
    <row r="60" spans="1:10" ht="25.5" hidden="1">
      <c r="A60" s="89"/>
      <c r="B60" s="14" t="s">
        <v>22</v>
      </c>
      <c r="C60" s="15"/>
      <c r="D60" s="16">
        <v>3.5</v>
      </c>
      <c r="E60" s="54" t="s">
        <v>28</v>
      </c>
      <c r="F60" s="17">
        <v>3.5</v>
      </c>
      <c r="G60" s="18">
        <v>2220</v>
      </c>
      <c r="H60" s="15" t="str">
        <f t="shared" si="2"/>
        <v>Відсмоктувач медичний "Біомед"</v>
      </c>
      <c r="I60" s="20">
        <f t="shared" si="2"/>
        <v>3.5</v>
      </c>
      <c r="J60" s="21"/>
    </row>
    <row r="61" spans="1:10" ht="12.75" hidden="1">
      <c r="A61" s="89"/>
      <c r="B61" s="14" t="s">
        <v>22</v>
      </c>
      <c r="C61" s="15"/>
      <c r="D61" s="16">
        <v>1.4</v>
      </c>
      <c r="E61" s="55" t="s">
        <v>29</v>
      </c>
      <c r="F61" s="17">
        <v>1.4</v>
      </c>
      <c r="G61" s="18">
        <v>2210</v>
      </c>
      <c r="H61" s="15" t="str">
        <f t="shared" si="2"/>
        <v>Водонагрiвач</v>
      </c>
      <c r="I61" s="20">
        <f t="shared" si="2"/>
        <v>1.4</v>
      </c>
      <c r="J61" s="21"/>
    </row>
    <row r="62" spans="1:10" ht="12.75" hidden="1">
      <c r="A62" s="89"/>
      <c r="B62" s="14" t="s">
        <v>22</v>
      </c>
      <c r="C62" s="15"/>
      <c r="D62" s="16">
        <v>0.08</v>
      </c>
      <c r="E62" s="54" t="s">
        <v>30</v>
      </c>
      <c r="F62" s="17">
        <v>0.08</v>
      </c>
      <c r="G62" s="18">
        <v>2210</v>
      </c>
      <c r="H62" s="19" t="str">
        <f t="shared" si="2"/>
        <v>Дезинфікуючий засіб 5 л</v>
      </c>
      <c r="I62" s="20">
        <f t="shared" si="2"/>
        <v>0.08</v>
      </c>
      <c r="J62" s="21"/>
    </row>
    <row r="63" spans="1:10" ht="12.75" hidden="1">
      <c r="A63" s="89"/>
      <c r="B63" s="14" t="s">
        <v>22</v>
      </c>
      <c r="C63" s="15"/>
      <c r="D63" s="16">
        <v>0.3</v>
      </c>
      <c r="E63" s="55" t="s">
        <v>31</v>
      </c>
      <c r="F63" s="17">
        <v>0.3</v>
      </c>
      <c r="G63" s="18">
        <v>2210</v>
      </c>
      <c r="H63" s="15" t="str">
        <f t="shared" si="2"/>
        <v>Диван б/у</v>
      </c>
      <c r="I63" s="20">
        <f t="shared" si="2"/>
        <v>0.3</v>
      </c>
      <c r="J63" s="21"/>
    </row>
    <row r="64" spans="1:10" ht="12.75" hidden="1">
      <c r="A64" s="89"/>
      <c r="B64" s="14" t="s">
        <v>22</v>
      </c>
      <c r="C64" s="15"/>
      <c r="D64" s="16">
        <v>0.83</v>
      </c>
      <c r="E64" s="55" t="s">
        <v>32</v>
      </c>
      <c r="F64" s="17">
        <v>0.83</v>
      </c>
      <c r="G64" s="18">
        <v>2210</v>
      </c>
      <c r="H64" s="19" t="str">
        <f t="shared" si="2"/>
        <v>Картина</v>
      </c>
      <c r="I64" s="20">
        <f t="shared" si="2"/>
        <v>0.83</v>
      </c>
      <c r="J64" s="21"/>
    </row>
    <row r="65" spans="1:10" ht="12.75" hidden="1">
      <c r="A65" s="89"/>
      <c r="B65" s="14" t="s">
        <v>22</v>
      </c>
      <c r="C65" s="15"/>
      <c r="D65" s="16">
        <v>0.5</v>
      </c>
      <c r="E65" s="56" t="s">
        <v>33</v>
      </c>
      <c r="F65" s="22">
        <v>0.5</v>
      </c>
      <c r="G65" s="23">
        <v>2210</v>
      </c>
      <c r="H65" s="15" t="str">
        <f t="shared" si="2"/>
        <v>Кокон дитячій (гніздо)</v>
      </c>
      <c r="I65" s="20">
        <f t="shared" si="2"/>
        <v>0.5</v>
      </c>
      <c r="J65" s="21"/>
    </row>
    <row r="66" spans="1:10" ht="12.75" hidden="1">
      <c r="A66" s="89"/>
      <c r="B66" s="14" t="s">
        <v>22</v>
      </c>
      <c r="C66" s="15"/>
      <c r="D66" s="16">
        <v>0.36</v>
      </c>
      <c r="E66" s="57" t="s">
        <v>34</v>
      </c>
      <c r="F66" s="17">
        <v>0.36</v>
      </c>
      <c r="G66" s="18">
        <v>2210</v>
      </c>
      <c r="H66" s="19" t="str">
        <f t="shared" si="2"/>
        <v>Конфорка для плити</v>
      </c>
      <c r="I66" s="20">
        <f t="shared" si="2"/>
        <v>0.36</v>
      </c>
      <c r="J66" s="21"/>
    </row>
    <row r="67" spans="1:10" ht="12.75" hidden="1">
      <c r="A67" s="89"/>
      <c r="B67" s="14" t="s">
        <v>22</v>
      </c>
      <c r="C67" s="15"/>
      <c r="D67" s="16">
        <v>1.5</v>
      </c>
      <c r="E67" s="56" t="s">
        <v>35</v>
      </c>
      <c r="F67" s="22">
        <v>1.5</v>
      </c>
      <c r="G67" s="23">
        <v>2210</v>
      </c>
      <c r="H67" s="15" t="str">
        <f t="shared" si="2"/>
        <v>Крісло-качалка</v>
      </c>
      <c r="I67" s="20">
        <f t="shared" si="2"/>
        <v>1.5</v>
      </c>
      <c r="J67" s="21"/>
    </row>
    <row r="68" spans="1:10" ht="12.75" hidden="1">
      <c r="A68" s="89"/>
      <c r="B68" s="14" t="s">
        <v>22</v>
      </c>
      <c r="C68" s="15"/>
      <c r="D68" s="16">
        <v>0.06</v>
      </c>
      <c r="E68" s="55" t="s">
        <v>36</v>
      </c>
      <c r="F68" s="17">
        <v>0.06</v>
      </c>
      <c r="G68" s="18">
        <v>2210</v>
      </c>
      <c r="H68" s="15" t="str">
        <f t="shared" si="2"/>
        <v>Ліжко дитяче б/у</v>
      </c>
      <c r="I68" s="20">
        <f t="shared" si="2"/>
        <v>0.06</v>
      </c>
      <c r="J68" s="21"/>
    </row>
    <row r="69" spans="1:10" ht="12.75" hidden="1">
      <c r="A69" s="89"/>
      <c r="B69" s="14" t="s">
        <v>22</v>
      </c>
      <c r="C69" s="15"/>
      <c r="D69" s="16">
        <v>0.4</v>
      </c>
      <c r="E69" s="54" t="s">
        <v>37</v>
      </c>
      <c r="F69" s="17">
        <v>0.4</v>
      </c>
      <c r="G69" s="18">
        <v>2210</v>
      </c>
      <c r="H69" s="19" t="str">
        <f t="shared" si="2"/>
        <v>Лінолеум 3 м</v>
      </c>
      <c r="I69" s="20">
        <f t="shared" si="2"/>
        <v>0.4</v>
      </c>
      <c r="J69" s="21"/>
    </row>
    <row r="70" spans="1:10" ht="12.75" hidden="1">
      <c r="A70" s="89"/>
      <c r="B70" s="14" t="s">
        <v>22</v>
      </c>
      <c r="C70" s="15"/>
      <c r="D70" s="16">
        <v>0.02</v>
      </c>
      <c r="E70" s="54" t="s">
        <v>38</v>
      </c>
      <c r="F70" s="17">
        <v>0.02</v>
      </c>
      <c r="G70" s="18">
        <v>2210</v>
      </c>
      <c r="H70" s="19" t="str">
        <f t="shared" si="2"/>
        <v>Ложка алюмин.</v>
      </c>
      <c r="I70" s="20">
        <f t="shared" si="2"/>
        <v>0.02</v>
      </c>
      <c r="J70" s="21"/>
    </row>
    <row r="71" spans="1:10" ht="12.75" hidden="1">
      <c r="A71" s="89"/>
      <c r="B71" s="14" t="s">
        <v>22</v>
      </c>
      <c r="C71" s="15"/>
      <c r="D71" s="16">
        <v>1.02</v>
      </c>
      <c r="E71" s="54" t="s">
        <v>39</v>
      </c>
      <c r="F71" s="17">
        <v>1.02</v>
      </c>
      <c r="G71" s="18">
        <v>2210</v>
      </c>
      <c r="H71" s="19" t="str">
        <f t="shared" si="2"/>
        <v>Ложка столова</v>
      </c>
      <c r="I71" s="20">
        <f t="shared" si="2"/>
        <v>1.02</v>
      </c>
      <c r="J71" s="21"/>
    </row>
    <row r="72" spans="1:10" ht="12.75" hidden="1">
      <c r="A72" s="89"/>
      <c r="B72" s="14" t="s">
        <v>22</v>
      </c>
      <c r="C72" s="15"/>
      <c r="D72" s="16">
        <v>0.04</v>
      </c>
      <c r="E72" s="54" t="s">
        <v>40</v>
      </c>
      <c r="F72" s="17">
        <v>0.04</v>
      </c>
      <c r="G72" s="18">
        <v>2210</v>
      </c>
      <c r="H72" s="19" t="str">
        <f t="shared" si="2"/>
        <v>Ложка чайная</v>
      </c>
      <c r="I72" s="20">
        <f t="shared" si="2"/>
        <v>0.04</v>
      </c>
      <c r="J72" s="21"/>
    </row>
    <row r="73" spans="1:10" ht="12.75" hidden="1">
      <c r="A73" s="89"/>
      <c r="B73" s="14" t="s">
        <v>22</v>
      </c>
      <c r="C73" s="15"/>
      <c r="D73" s="16">
        <v>0.1</v>
      </c>
      <c r="E73" s="55" t="s">
        <v>41</v>
      </c>
      <c r="F73" s="17">
        <v>0.1</v>
      </c>
      <c r="G73" s="18">
        <v>2210</v>
      </c>
      <c r="H73" s="15" t="str">
        <f t="shared" si="2"/>
        <v>Лопата снеговая</v>
      </c>
      <c r="I73" s="20">
        <f t="shared" si="2"/>
        <v>0.1</v>
      </c>
      <c r="J73" s="21"/>
    </row>
    <row r="74" spans="1:10" ht="12.75" hidden="1">
      <c r="A74" s="89"/>
      <c r="B74" s="14" t="s">
        <v>22</v>
      </c>
      <c r="C74" s="15"/>
      <c r="D74" s="16">
        <v>0.06</v>
      </c>
      <c r="E74" s="54" t="s">
        <v>42</v>
      </c>
      <c r="F74" s="17">
        <v>0.06</v>
      </c>
      <c r="G74" s="18">
        <v>2210</v>
      </c>
      <c r="H74" s="19" t="str">
        <f t="shared" si="2"/>
        <v>Люстра</v>
      </c>
      <c r="I74" s="20">
        <f t="shared" si="2"/>
        <v>0.06</v>
      </c>
      <c r="J74" s="21"/>
    </row>
    <row r="75" spans="1:10" ht="12.75" hidden="1">
      <c r="A75" s="89"/>
      <c r="B75" s="14" t="s">
        <v>22</v>
      </c>
      <c r="C75" s="15"/>
      <c r="D75" s="16">
        <v>0.15</v>
      </c>
      <c r="E75" s="55" t="s">
        <v>43</v>
      </c>
      <c r="F75" s="17">
        <v>0.15</v>
      </c>
      <c r="G75" s="18">
        <v>2210</v>
      </c>
      <c r="H75" s="15" t="str">
        <f t="shared" si="2"/>
        <v>Матрац</v>
      </c>
      <c r="I75" s="20">
        <f t="shared" si="2"/>
        <v>0.15</v>
      </c>
      <c r="J75" s="21"/>
    </row>
    <row r="76" spans="1:10" ht="12.75" hidden="1">
      <c r="A76" s="89"/>
      <c r="B76" s="14" t="s">
        <v>22</v>
      </c>
      <c r="C76" s="15"/>
      <c r="D76" s="16">
        <v>0.03</v>
      </c>
      <c r="E76" s="54" t="s">
        <v>44</v>
      </c>
      <c r="F76" s="17">
        <v>0.03</v>
      </c>
      <c r="G76" s="18">
        <v>2210</v>
      </c>
      <c r="H76" s="19" t="str">
        <f t="shared" si="2"/>
        <v>Метла</v>
      </c>
      <c r="I76" s="20">
        <f t="shared" si="2"/>
        <v>0.03</v>
      </c>
      <c r="J76" s="21"/>
    </row>
    <row r="77" spans="1:10" ht="12.75" hidden="1">
      <c r="A77" s="89"/>
      <c r="B77" s="14" t="s">
        <v>22</v>
      </c>
      <c r="C77" s="15"/>
      <c r="D77" s="16">
        <v>2</v>
      </c>
      <c r="E77" s="55" t="s">
        <v>45</v>
      </c>
      <c r="F77" s="17">
        <v>2</v>
      </c>
      <c r="G77" s="18">
        <v>2210</v>
      </c>
      <c r="H77" s="15" t="str">
        <f t="shared" si="2"/>
        <v>Набір кухоних меблів</v>
      </c>
      <c r="I77" s="20">
        <f t="shared" si="2"/>
        <v>2</v>
      </c>
      <c r="J77" s="21"/>
    </row>
    <row r="78" spans="1:10" ht="12.75" hidden="1">
      <c r="A78" s="89"/>
      <c r="B78" s="14" t="s">
        <v>22</v>
      </c>
      <c r="C78" s="15"/>
      <c r="D78" s="16">
        <v>0.05</v>
      </c>
      <c r="E78" s="54" t="s">
        <v>46</v>
      </c>
      <c r="F78" s="17">
        <v>0.05</v>
      </c>
      <c r="G78" s="18">
        <v>2210</v>
      </c>
      <c r="H78" s="19" t="str">
        <f t="shared" si="2"/>
        <v>Нож</v>
      </c>
      <c r="I78" s="20">
        <f t="shared" si="2"/>
        <v>0.05</v>
      </c>
      <c r="J78" s="21"/>
    </row>
    <row r="79" spans="1:10" ht="25.5" hidden="1">
      <c r="A79" s="89"/>
      <c r="B79" s="14" t="s">
        <v>22</v>
      </c>
      <c r="C79" s="15"/>
      <c r="D79" s="16">
        <v>2.5</v>
      </c>
      <c r="E79" s="54" t="s">
        <v>47</v>
      </c>
      <c r="F79" s="17">
        <v>2.5</v>
      </c>
      <c r="G79" s="18">
        <v>2220</v>
      </c>
      <c r="H79" s="15" t="str">
        <f t="shared" si="2"/>
        <v>Опромiнювач бактерицид.ОБПе-225</v>
      </c>
      <c r="I79" s="20">
        <f t="shared" si="2"/>
        <v>2.5</v>
      </c>
      <c r="J79" s="21"/>
    </row>
    <row r="80" spans="1:10" ht="12.75" hidden="1">
      <c r="A80" s="89"/>
      <c r="B80" s="14" t="s">
        <v>22</v>
      </c>
      <c r="C80" s="15"/>
      <c r="D80" s="16">
        <v>0.71</v>
      </c>
      <c r="E80" s="55" t="s">
        <v>48</v>
      </c>
      <c r="F80" s="17">
        <v>0.71</v>
      </c>
      <c r="G80" s="18">
        <v>2210</v>
      </c>
      <c r="H80" s="15" t="str">
        <f t="shared" si="2"/>
        <v>Педiатричне дитяче лiжко</v>
      </c>
      <c r="I80" s="20">
        <f t="shared" si="2"/>
        <v>0.71</v>
      </c>
      <c r="J80" s="21"/>
    </row>
    <row r="81" spans="1:10" ht="12.75" hidden="1">
      <c r="A81" s="89"/>
      <c r="B81" s="14" t="s">
        <v>22</v>
      </c>
      <c r="C81" s="15"/>
      <c r="D81" s="16">
        <v>0.7</v>
      </c>
      <c r="E81" s="55" t="s">
        <v>49</v>
      </c>
      <c r="F81" s="17">
        <v>0.7</v>
      </c>
      <c r="G81" s="18">
        <v>2210</v>
      </c>
      <c r="H81" s="15" t="str">
        <f t="shared" si="2"/>
        <v>Пелюшки</v>
      </c>
      <c r="I81" s="20">
        <f t="shared" si="2"/>
        <v>0.7</v>
      </c>
      <c r="J81" s="21"/>
    </row>
    <row r="82" spans="1:10" ht="12.75" hidden="1">
      <c r="A82" s="89"/>
      <c r="B82" s="14" t="s">
        <v>22</v>
      </c>
      <c r="C82" s="15"/>
      <c r="D82" s="16">
        <v>0.63</v>
      </c>
      <c r="E82" s="54" t="s">
        <v>50</v>
      </c>
      <c r="F82" s="17">
        <v>0.63</v>
      </c>
      <c r="G82" s="18">
        <v>2210</v>
      </c>
      <c r="H82" s="19" t="str">
        <f t="shared" si="2"/>
        <v>Плитка кахельна</v>
      </c>
      <c r="I82" s="20">
        <f t="shared" si="2"/>
        <v>0.63</v>
      </c>
      <c r="J82" s="21"/>
    </row>
    <row r="83" spans="1:10" ht="12.75" hidden="1">
      <c r="A83" s="89"/>
      <c r="B83" s="14" t="s">
        <v>22</v>
      </c>
      <c r="C83" s="15"/>
      <c r="D83" s="16">
        <v>0.64</v>
      </c>
      <c r="E83" s="55" t="s">
        <v>51</v>
      </c>
      <c r="F83" s="17">
        <v>0.64</v>
      </c>
      <c r="G83" s="18">
        <v>2210</v>
      </c>
      <c r="H83" s="15" t="str">
        <f t="shared" si="2"/>
        <v>Покривало</v>
      </c>
      <c r="I83" s="20">
        <f t="shared" si="2"/>
        <v>0.64</v>
      </c>
      <c r="J83" s="21"/>
    </row>
    <row r="84" spans="1:10" ht="12.75" hidden="1">
      <c r="A84" s="89"/>
      <c r="B84" s="14" t="s">
        <v>22</v>
      </c>
      <c r="C84" s="15"/>
      <c r="D84" s="16">
        <v>5.8</v>
      </c>
      <c r="E84" s="55" t="s">
        <v>52</v>
      </c>
      <c r="F84" s="17">
        <v>5.8</v>
      </c>
      <c r="G84" s="18">
        <v>2210</v>
      </c>
      <c r="H84" s="15" t="str">
        <f t="shared" si="2"/>
        <v>Пральна машина-автомат</v>
      </c>
      <c r="I84" s="20">
        <f t="shared" si="2"/>
        <v>5.8</v>
      </c>
      <c r="J84" s="21"/>
    </row>
    <row r="85" spans="1:10" ht="12.75" hidden="1">
      <c r="A85" s="89"/>
      <c r="B85" s="14" t="s">
        <v>22</v>
      </c>
      <c r="C85" s="15"/>
      <c r="D85" s="16">
        <v>2.42</v>
      </c>
      <c r="E85" s="54" t="s">
        <v>53</v>
      </c>
      <c r="F85" s="17">
        <v>2.42</v>
      </c>
      <c r="G85" s="18">
        <v>2210</v>
      </c>
      <c r="H85" s="19" t="str">
        <f t="shared" si="2"/>
        <v>Пральний порошок</v>
      </c>
      <c r="I85" s="20">
        <f t="shared" si="2"/>
        <v>2.42</v>
      </c>
      <c r="J85" s="21"/>
    </row>
    <row r="86" spans="1:10" ht="12.75" hidden="1">
      <c r="A86" s="89"/>
      <c r="B86" s="14" t="s">
        <v>22</v>
      </c>
      <c r="C86" s="15"/>
      <c r="D86" s="16">
        <v>0.05</v>
      </c>
      <c r="E86" s="55" t="s">
        <v>54</v>
      </c>
      <c r="F86" s="17">
        <v>0.05</v>
      </c>
      <c r="G86" s="18">
        <v>2210</v>
      </c>
      <c r="H86" s="15" t="str">
        <f t="shared" si="2"/>
        <v>Раскладушка</v>
      </c>
      <c r="I86" s="20">
        <f t="shared" si="2"/>
        <v>0.05</v>
      </c>
      <c r="J86" s="21"/>
    </row>
    <row r="87" spans="1:10" ht="12.75" hidden="1">
      <c r="A87" s="89"/>
      <c r="B87" s="14" t="s">
        <v>22</v>
      </c>
      <c r="C87" s="15"/>
      <c r="D87" s="16">
        <v>0.1</v>
      </c>
      <c r="E87" s="55" t="s">
        <v>55</v>
      </c>
      <c r="F87" s="17">
        <v>0.1</v>
      </c>
      <c r="G87" s="18">
        <v>2210</v>
      </c>
      <c r="H87" s="19" t="str">
        <f aca="true" t="shared" si="3" ref="H87:I118">E87</f>
        <v>Решетка металева</v>
      </c>
      <c r="I87" s="20">
        <f t="shared" si="3"/>
        <v>0.1</v>
      </c>
      <c r="J87" s="21"/>
    </row>
    <row r="88" spans="1:10" ht="12.75" hidden="1">
      <c r="A88" s="89"/>
      <c r="B88" s="14" t="s">
        <v>22</v>
      </c>
      <c r="C88" s="15"/>
      <c r="D88" s="16">
        <v>0.24</v>
      </c>
      <c r="E88" s="55" t="s">
        <v>56</v>
      </c>
      <c r="F88" s="17">
        <v>0.24</v>
      </c>
      <c r="G88" s="18">
        <v>2210</v>
      </c>
      <c r="H88" s="19" t="str">
        <f t="shared" si="3"/>
        <v>Рукав пожарный</v>
      </c>
      <c r="I88" s="20">
        <f t="shared" si="3"/>
        <v>0.24</v>
      </c>
      <c r="J88" s="21"/>
    </row>
    <row r="89" spans="1:10" ht="12.75" hidden="1">
      <c r="A89" s="89"/>
      <c r="B89" s="14" t="s">
        <v>22</v>
      </c>
      <c r="C89" s="15"/>
      <c r="D89" s="16">
        <v>1.5</v>
      </c>
      <c r="E89" s="56" t="s">
        <v>57</v>
      </c>
      <c r="F89" s="22">
        <v>1.5</v>
      </c>
      <c r="G89" s="23">
        <v>2220</v>
      </c>
      <c r="H89" s="15" t="str">
        <f t="shared" si="3"/>
        <v>Стiл манипуляцiйний</v>
      </c>
      <c r="I89" s="20">
        <f t="shared" si="3"/>
        <v>1.5</v>
      </c>
      <c r="J89" s="21"/>
    </row>
    <row r="90" spans="1:10" ht="12.75" hidden="1">
      <c r="A90" s="89"/>
      <c r="B90" s="14" t="s">
        <v>22</v>
      </c>
      <c r="C90" s="15"/>
      <c r="D90" s="16">
        <v>0.2</v>
      </c>
      <c r="E90" s="55" t="s">
        <v>58</v>
      </c>
      <c r="F90" s="17">
        <v>0.2</v>
      </c>
      <c r="G90" s="18">
        <v>2210</v>
      </c>
      <c r="H90" s="19" t="str">
        <f t="shared" si="3"/>
        <v>Стіл кутовий</v>
      </c>
      <c r="I90" s="20">
        <f t="shared" si="3"/>
        <v>0.2</v>
      </c>
      <c r="J90" s="21"/>
    </row>
    <row r="91" spans="1:10" ht="12.75" hidden="1">
      <c r="A91" s="89"/>
      <c r="B91" s="14" t="s">
        <v>22</v>
      </c>
      <c r="C91" s="15"/>
      <c r="D91" s="16">
        <v>0.2</v>
      </c>
      <c r="E91" s="55" t="s">
        <v>59</v>
      </c>
      <c r="F91" s="17">
        <v>0.2</v>
      </c>
      <c r="G91" s="18">
        <v>2210</v>
      </c>
      <c r="H91" s="19" t="str">
        <f t="shared" si="3"/>
        <v>Стіл письмовий</v>
      </c>
      <c r="I91" s="20">
        <f t="shared" si="3"/>
        <v>0.2</v>
      </c>
      <c r="J91" s="21"/>
    </row>
    <row r="92" spans="1:10" ht="12.75" hidden="1">
      <c r="A92" s="89"/>
      <c r="B92" s="14" t="s">
        <v>22</v>
      </c>
      <c r="C92" s="15"/>
      <c r="D92" s="16">
        <v>0.3</v>
      </c>
      <c r="E92" s="55" t="s">
        <v>60</v>
      </c>
      <c r="F92" s="17">
        <v>0.3</v>
      </c>
      <c r="G92" s="18">
        <v>2210</v>
      </c>
      <c r="H92" s="19" t="str">
        <f t="shared" si="3"/>
        <v>Стіл розділочний</v>
      </c>
      <c r="I92" s="20">
        <f t="shared" si="3"/>
        <v>0.3</v>
      </c>
      <c r="J92" s="21"/>
    </row>
    <row r="93" spans="1:10" ht="12.75" hidden="1">
      <c r="A93" s="89"/>
      <c r="B93" s="14" t="s">
        <v>22</v>
      </c>
      <c r="C93" s="15"/>
      <c r="D93" s="16">
        <v>0.08</v>
      </c>
      <c r="E93" s="55" t="s">
        <v>61</v>
      </c>
      <c r="F93" s="17">
        <v>0.08</v>
      </c>
      <c r="G93" s="18">
        <v>2210</v>
      </c>
      <c r="H93" s="19" t="str">
        <f t="shared" si="3"/>
        <v>Стілець</v>
      </c>
      <c r="I93" s="20">
        <f t="shared" si="3"/>
        <v>0.08</v>
      </c>
      <c r="J93" s="21"/>
    </row>
    <row r="94" spans="1:10" ht="12.75" hidden="1">
      <c r="A94" s="89"/>
      <c r="B94" s="14" t="s">
        <v>22</v>
      </c>
      <c r="C94" s="15"/>
      <c r="D94" s="16">
        <v>1.2</v>
      </c>
      <c r="E94" s="54" t="s">
        <v>62</v>
      </c>
      <c r="F94" s="17">
        <v>1.2</v>
      </c>
      <c r="G94" s="18">
        <v>2210</v>
      </c>
      <c r="H94" s="19" t="str">
        <f t="shared" si="3"/>
        <v>Стілець для масажу</v>
      </c>
      <c r="I94" s="20">
        <f t="shared" si="3"/>
        <v>1.2</v>
      </c>
      <c r="J94" s="21"/>
    </row>
    <row r="95" spans="1:10" ht="12.75" hidden="1">
      <c r="A95" s="89"/>
      <c r="B95" s="14" t="s">
        <v>22</v>
      </c>
      <c r="C95" s="15"/>
      <c r="D95" s="16">
        <v>0.12</v>
      </c>
      <c r="E95" s="55" t="s">
        <v>63</v>
      </c>
      <c r="F95" s="17">
        <v>0.12</v>
      </c>
      <c r="G95" s="18">
        <v>2210</v>
      </c>
      <c r="H95" s="19" t="str">
        <f t="shared" si="3"/>
        <v>Сумка-холодильник </v>
      </c>
      <c r="I95" s="20">
        <f t="shared" si="3"/>
        <v>0.12</v>
      </c>
      <c r="J95" s="21"/>
    </row>
    <row r="96" spans="1:10" ht="12.75" hidden="1">
      <c r="A96" s="89"/>
      <c r="B96" s="14" t="s">
        <v>22</v>
      </c>
      <c r="C96" s="15"/>
      <c r="D96" s="16">
        <v>0.46</v>
      </c>
      <c r="E96" s="55" t="s">
        <v>64</v>
      </c>
      <c r="F96" s="17">
        <v>0.46</v>
      </c>
      <c r="G96" s="18">
        <v>2210</v>
      </c>
      <c r="H96" s="15" t="str">
        <f t="shared" si="3"/>
        <v>Табуретка</v>
      </c>
      <c r="I96" s="20">
        <f t="shared" si="3"/>
        <v>0.46</v>
      </c>
      <c r="J96" s="21"/>
    </row>
    <row r="97" spans="1:10" ht="12.75" hidden="1">
      <c r="A97" s="89"/>
      <c r="B97" s="14" t="s">
        <v>22</v>
      </c>
      <c r="C97" s="15"/>
      <c r="D97" s="16">
        <v>0.4</v>
      </c>
      <c r="E97" s="54" t="s">
        <v>65</v>
      </c>
      <c r="F97" s="17">
        <v>0.4</v>
      </c>
      <c r="G97" s="18">
        <v>2210</v>
      </c>
      <c r="H97" s="15" t="str">
        <f t="shared" si="3"/>
        <v>Табуретка дитяча</v>
      </c>
      <c r="I97" s="20">
        <f t="shared" si="3"/>
        <v>0.4</v>
      </c>
      <c r="J97" s="21"/>
    </row>
    <row r="98" spans="1:10" ht="12.75" hidden="1">
      <c r="A98" s="89"/>
      <c r="B98" s="14" t="s">
        <v>22</v>
      </c>
      <c r="C98" s="15"/>
      <c r="D98" s="16">
        <v>0.4</v>
      </c>
      <c r="E98" s="55" t="s">
        <v>66</v>
      </c>
      <c r="F98" s="17">
        <v>0.4</v>
      </c>
      <c r="G98" s="18">
        <v>2210</v>
      </c>
      <c r="H98" s="15" t="str">
        <f t="shared" si="3"/>
        <v>Телевізор б/у</v>
      </c>
      <c r="I98" s="20">
        <f t="shared" si="3"/>
        <v>0.4</v>
      </c>
      <c r="J98" s="21"/>
    </row>
    <row r="99" spans="1:10" ht="12.75" hidden="1">
      <c r="A99" s="89"/>
      <c r="B99" s="14" t="s">
        <v>22</v>
      </c>
      <c r="C99" s="15"/>
      <c r="D99" s="16">
        <v>0.4</v>
      </c>
      <c r="E99" s="55" t="s">
        <v>67</v>
      </c>
      <c r="F99" s="17">
        <v>0.4</v>
      </c>
      <c r="G99" s="18">
        <v>2210</v>
      </c>
      <c r="H99" s="15" t="str">
        <f t="shared" si="3"/>
        <v>Тумба з  мойкою</v>
      </c>
      <c r="I99" s="20">
        <f t="shared" si="3"/>
        <v>0.4</v>
      </c>
      <c r="J99" s="21"/>
    </row>
    <row r="100" spans="1:10" ht="12.75" hidden="1">
      <c r="A100" s="89"/>
      <c r="B100" s="14" t="s">
        <v>22</v>
      </c>
      <c r="C100" s="15"/>
      <c r="D100" s="16">
        <v>0.1</v>
      </c>
      <c r="E100" s="55" t="s">
        <v>68</v>
      </c>
      <c r="F100" s="17">
        <v>0.1</v>
      </c>
      <c r="G100" s="18">
        <v>2210</v>
      </c>
      <c r="H100" s="19" t="str">
        <f t="shared" si="3"/>
        <v>Тумбочка</v>
      </c>
      <c r="I100" s="20">
        <f t="shared" si="3"/>
        <v>0.1</v>
      </c>
      <c r="J100" s="21"/>
    </row>
    <row r="101" spans="1:10" ht="12.75" hidden="1">
      <c r="A101" s="89"/>
      <c r="B101" s="14" t="s">
        <v>22</v>
      </c>
      <c r="C101" s="15"/>
      <c r="D101" s="16">
        <v>0.5</v>
      </c>
      <c r="E101" s="55" t="s">
        <v>69</v>
      </c>
      <c r="F101" s="17">
        <v>0.5</v>
      </c>
      <c r="G101" s="18">
        <v>2210</v>
      </c>
      <c r="H101" s="15" t="str">
        <f t="shared" si="3"/>
        <v>Холодильник "Ардо"</v>
      </c>
      <c r="I101" s="20">
        <f t="shared" si="3"/>
        <v>0.5</v>
      </c>
      <c r="J101" s="21"/>
    </row>
    <row r="102" spans="1:10" ht="51" hidden="1">
      <c r="A102" s="89"/>
      <c r="B102" s="24" t="s">
        <v>70</v>
      </c>
      <c r="C102" s="15"/>
      <c r="D102" s="16">
        <v>476.62</v>
      </c>
      <c r="E102" s="54" t="s">
        <v>71</v>
      </c>
      <c r="F102" s="22">
        <v>476.62</v>
      </c>
      <c r="G102" s="23">
        <v>3110</v>
      </c>
      <c r="H102" s="15" t="str">
        <f t="shared" si="3"/>
        <v>Електрохірургічний апарат ARC-350(REF900-351)</v>
      </c>
      <c r="I102" s="20">
        <f t="shared" si="3"/>
        <v>476.62</v>
      </c>
      <c r="J102" s="21"/>
    </row>
    <row r="103" spans="1:10" ht="63.75" hidden="1">
      <c r="A103" s="89"/>
      <c r="B103" s="25" t="s">
        <v>72</v>
      </c>
      <c r="C103" s="15"/>
      <c r="D103" s="26">
        <v>26.44</v>
      </c>
      <c r="E103" s="27" t="s">
        <v>73</v>
      </c>
      <c r="F103" s="22">
        <v>26.44</v>
      </c>
      <c r="G103" s="28">
        <v>3310</v>
      </c>
      <c r="H103" s="19" t="str">
        <f t="shared" si="3"/>
        <v>Шафа холодильна MSU400 Tefcoold</v>
      </c>
      <c r="I103" s="20">
        <f t="shared" si="3"/>
        <v>26.44</v>
      </c>
      <c r="J103" s="29"/>
    </row>
    <row r="104" spans="1:10" ht="12.75" hidden="1">
      <c r="A104" s="89"/>
      <c r="B104" s="75" t="s">
        <v>74</v>
      </c>
      <c r="C104" s="15"/>
      <c r="D104" s="20">
        <v>1.00496</v>
      </c>
      <c r="E104" s="55" t="s">
        <v>75</v>
      </c>
      <c r="F104" s="30">
        <v>1.00496</v>
      </c>
      <c r="G104" s="31">
        <v>2220</v>
      </c>
      <c r="H104" s="32" t="str">
        <f t="shared" si="3"/>
        <v>Ааудіометрична система</v>
      </c>
      <c r="I104" s="30">
        <f t="shared" si="3"/>
        <v>1.00496</v>
      </c>
      <c r="J104" s="33"/>
    </row>
    <row r="105" spans="1:10" ht="12.75" hidden="1">
      <c r="A105" s="89"/>
      <c r="B105" s="76"/>
      <c r="C105" s="15"/>
      <c r="D105" s="20">
        <v>1</v>
      </c>
      <c r="E105" s="55" t="s">
        <v>76</v>
      </c>
      <c r="F105" s="30">
        <v>1</v>
      </c>
      <c r="G105" s="31">
        <v>2220</v>
      </c>
      <c r="H105" s="32" t="str">
        <f t="shared" si="3"/>
        <v>Аудіометр партативний</v>
      </c>
      <c r="I105" s="30">
        <f t="shared" si="3"/>
        <v>1</v>
      </c>
      <c r="J105" s="33"/>
    </row>
    <row r="106" spans="1:10" ht="12.75" hidden="1">
      <c r="A106" s="89"/>
      <c r="B106" s="76"/>
      <c r="C106" s="15"/>
      <c r="D106" s="20">
        <v>0.02</v>
      </c>
      <c r="E106" s="55" t="s">
        <v>77</v>
      </c>
      <c r="F106" s="30">
        <v>0.02</v>
      </c>
      <c r="G106" s="31">
        <v>2220</v>
      </c>
      <c r="H106" s="32" t="str">
        <f t="shared" si="3"/>
        <v>Воронка вушна</v>
      </c>
      <c r="I106" s="30">
        <f t="shared" si="3"/>
        <v>0.02</v>
      </c>
      <c r="J106" s="33"/>
    </row>
    <row r="107" spans="1:10" ht="12.75" hidden="1">
      <c r="A107" s="89"/>
      <c r="B107" s="76"/>
      <c r="C107" s="15"/>
      <c r="D107" s="20">
        <v>0.01925</v>
      </c>
      <c r="E107" s="55" t="s">
        <v>78</v>
      </c>
      <c r="F107" s="30">
        <v>0.01925</v>
      </c>
      <c r="G107" s="31">
        <v>2220</v>
      </c>
      <c r="H107" s="32" t="str">
        <f t="shared" si="3"/>
        <v>Вушной пінцет</v>
      </c>
      <c r="I107" s="30">
        <f t="shared" si="3"/>
        <v>0.01925</v>
      </c>
      <c r="J107" s="33"/>
    </row>
    <row r="108" spans="1:10" ht="25.5" hidden="1">
      <c r="A108" s="89"/>
      <c r="B108" s="76"/>
      <c r="C108" s="15"/>
      <c r="D108" s="20">
        <v>0.024</v>
      </c>
      <c r="E108" s="55" t="s">
        <v>79</v>
      </c>
      <c r="F108" s="30">
        <v>0.024</v>
      </c>
      <c r="G108" s="31">
        <v>2220</v>
      </c>
      <c r="H108" s="32" t="str">
        <f t="shared" si="3"/>
        <v>Гачек для  видалення строронього тіла</v>
      </c>
      <c r="I108" s="30">
        <f t="shared" si="3"/>
        <v>0.024</v>
      </c>
      <c r="J108" s="33"/>
    </row>
    <row r="109" spans="1:10" ht="12.75" hidden="1">
      <c r="A109" s="89"/>
      <c r="B109" s="76"/>
      <c r="C109" s="15"/>
      <c r="D109" s="20">
        <v>0.06</v>
      </c>
      <c r="E109" s="55" t="s">
        <v>80</v>
      </c>
      <c r="F109" s="30">
        <v>0.06</v>
      </c>
      <c r="G109" s="31">
        <v>2220</v>
      </c>
      <c r="H109" s="32" t="str">
        <f t="shared" si="3"/>
        <v>Дзеркало гортанне</v>
      </c>
      <c r="I109" s="30">
        <f t="shared" si="3"/>
        <v>0.06</v>
      </c>
      <c r="J109" s="33"/>
    </row>
    <row r="110" spans="1:10" ht="12.75" hidden="1">
      <c r="A110" s="89"/>
      <c r="B110" s="76"/>
      <c r="C110" s="15"/>
      <c r="D110" s="26">
        <v>0.13</v>
      </c>
      <c r="E110" s="58" t="s">
        <v>81</v>
      </c>
      <c r="F110" s="17">
        <v>0.13</v>
      </c>
      <c r="G110" s="28">
        <v>2210</v>
      </c>
      <c r="H110" s="32" t="str">
        <f t="shared" si="3"/>
        <v>Засіб для миття 1 л.</v>
      </c>
      <c r="I110" s="20">
        <f t="shared" si="3"/>
        <v>0.13</v>
      </c>
      <c r="J110" s="29"/>
    </row>
    <row r="111" spans="1:10" ht="12.75" hidden="1">
      <c r="A111" s="89"/>
      <c r="B111" s="76"/>
      <c r="C111" s="15"/>
      <c r="D111" s="26">
        <v>0.1</v>
      </c>
      <c r="E111" s="58" t="s">
        <v>82</v>
      </c>
      <c r="F111" s="17">
        <v>0.1</v>
      </c>
      <c r="G111" s="28">
        <v>2210</v>
      </c>
      <c r="H111" s="32" t="str">
        <f t="shared" si="3"/>
        <v>Засіб для миття 10 л.</v>
      </c>
      <c r="I111" s="20">
        <f t="shared" si="3"/>
        <v>0.1</v>
      </c>
      <c r="J111" s="29"/>
    </row>
    <row r="112" spans="1:10" ht="12.75" hidden="1">
      <c r="A112" s="89"/>
      <c r="B112" s="76"/>
      <c r="C112" s="15"/>
      <c r="D112" s="20">
        <v>0.06</v>
      </c>
      <c r="E112" s="58" t="s">
        <v>83</v>
      </c>
      <c r="F112" s="20">
        <v>0.06</v>
      </c>
      <c r="G112" s="28">
        <v>2210</v>
      </c>
      <c r="H112" s="32" t="str">
        <f t="shared" si="3"/>
        <v>Засіб для миття 20 л.</v>
      </c>
      <c r="I112" s="20">
        <f t="shared" si="3"/>
        <v>0.06</v>
      </c>
      <c r="J112" s="33"/>
    </row>
    <row r="113" spans="1:10" ht="12.75" hidden="1">
      <c r="A113" s="89"/>
      <c r="B113" s="76"/>
      <c r="C113" s="15"/>
      <c r="D113" s="20">
        <v>0.38</v>
      </c>
      <c r="E113" s="58" t="s">
        <v>84</v>
      </c>
      <c r="F113" s="20">
        <v>0.38</v>
      </c>
      <c r="G113" s="28">
        <v>2210</v>
      </c>
      <c r="H113" s="32" t="str">
        <f t="shared" si="3"/>
        <v>Засіб для миття 30 л.</v>
      </c>
      <c r="I113" s="20">
        <f t="shared" si="3"/>
        <v>0.38</v>
      </c>
      <c r="J113" s="33"/>
    </row>
    <row r="114" spans="1:10" ht="12.75" hidden="1">
      <c r="A114" s="89"/>
      <c r="B114" s="76"/>
      <c r="C114" s="15"/>
      <c r="D114" s="20">
        <v>0.05</v>
      </c>
      <c r="E114" s="58" t="s">
        <v>85</v>
      </c>
      <c r="F114" s="20">
        <v>0.05</v>
      </c>
      <c r="G114" s="28">
        <v>2210</v>
      </c>
      <c r="H114" s="32" t="str">
        <f t="shared" si="3"/>
        <v>Засіб для миття 5 л.</v>
      </c>
      <c r="I114" s="20">
        <f t="shared" si="3"/>
        <v>0.05</v>
      </c>
      <c r="J114" s="33"/>
    </row>
    <row r="115" spans="1:10" ht="12.75" hidden="1">
      <c r="A115" s="89"/>
      <c r="B115" s="76"/>
      <c r="C115" s="15"/>
      <c r="D115" s="26">
        <v>0.003</v>
      </c>
      <c r="E115" s="58" t="s">
        <v>86</v>
      </c>
      <c r="F115" s="34">
        <v>0.003</v>
      </c>
      <c r="G115" s="28">
        <v>2210</v>
      </c>
      <c r="H115" s="32" t="str">
        <f t="shared" si="3"/>
        <v>Засіб чистячій 2,2 кг.</v>
      </c>
      <c r="I115" s="35">
        <f t="shared" si="3"/>
        <v>0.003</v>
      </c>
      <c r="J115" s="29"/>
    </row>
    <row r="116" spans="1:10" ht="12.75" hidden="1">
      <c r="A116" s="89"/>
      <c r="B116" s="76"/>
      <c r="C116" s="15"/>
      <c r="D116" s="20">
        <v>0.075</v>
      </c>
      <c r="E116" s="55" t="s">
        <v>87</v>
      </c>
      <c r="F116" s="30">
        <v>0.075</v>
      </c>
      <c r="G116" s="31">
        <v>2220</v>
      </c>
      <c r="H116" s="32" t="str">
        <f t="shared" si="3"/>
        <v>Затискач</v>
      </c>
      <c r="I116" s="30">
        <f t="shared" si="3"/>
        <v>0.075</v>
      </c>
      <c r="J116" s="33"/>
    </row>
    <row r="117" spans="1:10" ht="12.75" hidden="1">
      <c r="A117" s="89"/>
      <c r="B117" s="76"/>
      <c r="C117" s="15"/>
      <c r="D117" s="26">
        <v>0.03</v>
      </c>
      <c r="E117" s="58" t="s">
        <v>88</v>
      </c>
      <c r="F117" s="17">
        <v>0.03</v>
      </c>
      <c r="G117" s="28">
        <v>2210</v>
      </c>
      <c r="H117" s="32" t="str">
        <f t="shared" si="3"/>
        <v>Захісний крем для рук</v>
      </c>
      <c r="I117" s="20">
        <f t="shared" si="3"/>
        <v>0.03</v>
      </c>
      <c r="J117" s="29"/>
    </row>
    <row r="118" spans="1:10" ht="12.75" hidden="1">
      <c r="A118" s="89"/>
      <c r="B118" s="76"/>
      <c r="C118" s="15"/>
      <c r="D118" s="20">
        <v>0.12</v>
      </c>
      <c r="E118" s="55" t="s">
        <v>89</v>
      </c>
      <c r="F118" s="30">
        <v>0.12</v>
      </c>
      <c r="G118" s="31">
        <v>2220</v>
      </c>
      <c r="H118" s="32" t="str">
        <f t="shared" si="3"/>
        <v>Захоплюючі щіпці</v>
      </c>
      <c r="I118" s="30">
        <f t="shared" si="3"/>
        <v>0.12</v>
      </c>
      <c r="J118" s="33"/>
    </row>
    <row r="119" spans="1:10" ht="25.5" hidden="1">
      <c r="A119" s="89"/>
      <c r="B119" s="76"/>
      <c r="C119" s="15"/>
      <c r="D119" s="20">
        <v>2.546</v>
      </c>
      <c r="E119" s="55" t="s">
        <v>90</v>
      </c>
      <c r="F119" s="30">
        <v>2.546</v>
      </c>
      <c r="G119" s="31">
        <v>2220</v>
      </c>
      <c r="H119" s="32" t="str">
        <f aca="true" t="shared" si="4" ref="H119:I150">E119</f>
        <v>Компресор для дихального апарату</v>
      </c>
      <c r="I119" s="30">
        <f t="shared" si="4"/>
        <v>2.546</v>
      </c>
      <c r="J119" s="33"/>
    </row>
    <row r="120" spans="1:10" ht="12.75" hidden="1">
      <c r="A120" s="89"/>
      <c r="B120" s="76"/>
      <c r="C120" s="15"/>
      <c r="D120" s="20">
        <v>0.16</v>
      </c>
      <c r="E120" s="58" t="s">
        <v>91</v>
      </c>
      <c r="F120" s="20">
        <v>0.16</v>
      </c>
      <c r="G120" s="28">
        <v>2210</v>
      </c>
      <c r="H120" s="32" t="str">
        <f t="shared" si="4"/>
        <v>Крахмал для прання 24 кг.</v>
      </c>
      <c r="I120" s="20">
        <f t="shared" si="4"/>
        <v>0.16</v>
      </c>
      <c r="J120" s="33"/>
    </row>
    <row r="121" spans="1:10" ht="12.75" hidden="1">
      <c r="A121" s="89"/>
      <c r="B121" s="76"/>
      <c r="C121" s="15"/>
      <c r="D121" s="20">
        <v>1.90949</v>
      </c>
      <c r="E121" s="55" t="s">
        <v>92</v>
      </c>
      <c r="F121" s="30">
        <v>1.90949</v>
      </c>
      <c r="G121" s="31">
        <v>2210</v>
      </c>
      <c r="H121" s="32" t="str">
        <f t="shared" si="4"/>
        <v>Крісло пацієнта</v>
      </c>
      <c r="I121" s="30">
        <f t="shared" si="4"/>
        <v>1.90949</v>
      </c>
      <c r="J121" s="33"/>
    </row>
    <row r="122" spans="1:10" ht="25.5" hidden="1">
      <c r="A122" s="89"/>
      <c r="B122" s="76"/>
      <c r="C122" s="15"/>
      <c r="D122" s="20">
        <v>4.77373</v>
      </c>
      <c r="E122" s="55" t="s">
        <v>93</v>
      </c>
      <c r="F122" s="30">
        <v>4.77373</v>
      </c>
      <c r="G122" s="31">
        <v>2220</v>
      </c>
      <c r="H122" s="32" t="str">
        <f t="shared" si="4"/>
        <v>ЛОР установка "АТМАС" Servant -3</v>
      </c>
      <c r="I122" s="30">
        <f t="shared" si="4"/>
        <v>4.77373</v>
      </c>
      <c r="J122" s="33"/>
    </row>
    <row r="123" spans="1:10" ht="25.5" hidden="1">
      <c r="A123" s="89"/>
      <c r="B123" s="76"/>
      <c r="C123" s="15"/>
      <c r="D123" s="20">
        <v>9.54746</v>
      </c>
      <c r="E123" s="55" t="s">
        <v>94</v>
      </c>
      <c r="F123" s="30">
        <v>9.54746</v>
      </c>
      <c r="G123" s="31">
        <v>2220</v>
      </c>
      <c r="H123" s="32" t="str">
        <f t="shared" si="4"/>
        <v>ЛОР установка "АТМАС" Servant -4</v>
      </c>
      <c r="I123" s="30">
        <f t="shared" si="4"/>
        <v>9.54746</v>
      </c>
      <c r="J123" s="33"/>
    </row>
    <row r="124" spans="1:10" ht="12.75" hidden="1">
      <c r="A124" s="89"/>
      <c r="B124" s="76"/>
      <c r="C124" s="15"/>
      <c r="D124" s="20">
        <v>0.04</v>
      </c>
      <c r="E124" s="58" t="s">
        <v>95</v>
      </c>
      <c r="F124" s="20">
        <v>0.04</v>
      </c>
      <c r="G124" s="28">
        <v>2210</v>
      </c>
      <c r="H124" s="32" t="str">
        <f t="shared" si="4"/>
        <v>Миючий засіб для рук 4 л.</v>
      </c>
      <c r="I124" s="20">
        <f t="shared" si="4"/>
        <v>0.04</v>
      </c>
      <c r="J124" s="33"/>
    </row>
    <row r="125" spans="1:10" ht="12.75" hidden="1">
      <c r="A125" s="89"/>
      <c r="B125" s="76"/>
      <c r="C125" s="15"/>
      <c r="D125" s="20">
        <v>0.13</v>
      </c>
      <c r="E125" s="58" t="s">
        <v>96</v>
      </c>
      <c r="F125" s="20">
        <v>0.13</v>
      </c>
      <c r="G125" s="28">
        <v>2210</v>
      </c>
      <c r="H125" s="32" t="str">
        <f t="shared" si="4"/>
        <v>Миючий засіб для рук 5 л.</v>
      </c>
      <c r="I125" s="20">
        <f t="shared" si="4"/>
        <v>0.13</v>
      </c>
      <c r="J125" s="33"/>
    </row>
    <row r="126" spans="1:10" ht="12.75" hidden="1">
      <c r="A126" s="89"/>
      <c r="B126" s="76"/>
      <c r="C126" s="15"/>
      <c r="D126" s="20">
        <v>4.77375</v>
      </c>
      <c r="E126" s="55" t="s">
        <v>97</v>
      </c>
      <c r="F126" s="30">
        <v>4.77375</v>
      </c>
      <c r="G126" s="31">
        <v>2220</v>
      </c>
      <c r="H126" s="32" t="str">
        <f t="shared" si="4"/>
        <v>Мікроскоп "ZEISS" OPMI-9</v>
      </c>
      <c r="I126" s="30">
        <f t="shared" si="4"/>
        <v>4.77375</v>
      </c>
      <c r="J126" s="33"/>
    </row>
    <row r="127" spans="1:10" ht="12.75" hidden="1">
      <c r="A127" s="89"/>
      <c r="B127" s="76"/>
      <c r="C127" s="15"/>
      <c r="D127" s="26">
        <v>0.03</v>
      </c>
      <c r="E127" s="58" t="s">
        <v>98</v>
      </c>
      <c r="F127" s="17">
        <v>0.03</v>
      </c>
      <c r="G127" s="28">
        <v>2210</v>
      </c>
      <c r="H127" s="32" t="str">
        <f t="shared" si="4"/>
        <v>Одноразовий стакан</v>
      </c>
      <c r="I127" s="20">
        <f t="shared" si="4"/>
        <v>0.03</v>
      </c>
      <c r="J127" s="29"/>
    </row>
    <row r="128" spans="1:10" ht="12.75" hidden="1">
      <c r="A128" s="89"/>
      <c r="B128" s="76"/>
      <c r="C128" s="15"/>
      <c r="D128" s="26">
        <v>0.38</v>
      </c>
      <c r="E128" s="58" t="s">
        <v>99</v>
      </c>
      <c r="F128" s="17">
        <v>0.38</v>
      </c>
      <c r="G128" s="28">
        <v>2210</v>
      </c>
      <c r="H128" s="32" t="str">
        <f t="shared" si="4"/>
        <v>Одноразові полотенця № 4</v>
      </c>
      <c r="I128" s="20">
        <f t="shared" si="4"/>
        <v>0.38</v>
      </c>
      <c r="J128" s="29"/>
    </row>
    <row r="129" spans="1:10" ht="25.5" hidden="1">
      <c r="A129" s="89"/>
      <c r="B129" s="76"/>
      <c r="C129" s="15"/>
      <c r="D129" s="20">
        <v>0.03</v>
      </c>
      <c r="E129" s="59" t="s">
        <v>100</v>
      </c>
      <c r="F129" s="20">
        <v>0.03</v>
      </c>
      <c r="G129" s="4">
        <v>2210</v>
      </c>
      <c r="H129" s="32" t="str">
        <f t="shared" si="4"/>
        <v>Пакети з ручками паперові № 200</v>
      </c>
      <c r="I129" s="20">
        <f t="shared" si="4"/>
        <v>0.03</v>
      </c>
      <c r="J129" s="33"/>
    </row>
    <row r="130" spans="1:10" ht="12.75" hidden="1">
      <c r="A130" s="89"/>
      <c r="B130" s="76"/>
      <c r="C130" s="15"/>
      <c r="D130" s="26">
        <v>12.73</v>
      </c>
      <c r="E130" s="58" t="s">
        <v>101</v>
      </c>
      <c r="F130" s="17">
        <v>12.73</v>
      </c>
      <c r="G130" s="28">
        <v>2210</v>
      </c>
      <c r="H130" s="32" t="str">
        <f t="shared" si="4"/>
        <v>Памперси  дитячі № 72</v>
      </c>
      <c r="I130" s="20">
        <f t="shared" si="4"/>
        <v>12.73</v>
      </c>
      <c r="J130" s="29"/>
    </row>
    <row r="131" spans="1:10" ht="12.75" hidden="1">
      <c r="A131" s="89"/>
      <c r="B131" s="76"/>
      <c r="C131" s="15"/>
      <c r="D131" s="26">
        <v>0.25</v>
      </c>
      <c r="E131" s="58" t="s">
        <v>102</v>
      </c>
      <c r="F131" s="17">
        <v>0.25</v>
      </c>
      <c r="G131" s="28">
        <v>2210</v>
      </c>
      <c r="H131" s="32" t="str">
        <f t="shared" si="4"/>
        <v>Папір туалетний</v>
      </c>
      <c r="I131" s="20">
        <f t="shared" si="4"/>
        <v>0.25</v>
      </c>
      <c r="J131" s="29"/>
    </row>
    <row r="132" spans="1:10" ht="12.75" hidden="1">
      <c r="A132" s="89"/>
      <c r="B132" s="76"/>
      <c r="C132" s="15"/>
      <c r="D132" s="26">
        <v>1.95</v>
      </c>
      <c r="E132" s="58" t="s">
        <v>53</v>
      </c>
      <c r="F132" s="17">
        <v>1.95</v>
      </c>
      <c r="G132" s="28">
        <v>2210</v>
      </c>
      <c r="H132" s="32" t="str">
        <f t="shared" si="4"/>
        <v>Пральний порошок</v>
      </c>
      <c r="I132" s="20">
        <f t="shared" si="4"/>
        <v>1.95</v>
      </c>
      <c r="J132" s="29"/>
    </row>
    <row r="133" spans="1:10" ht="12.75" hidden="1">
      <c r="A133" s="89"/>
      <c r="B133" s="76"/>
      <c r="C133" s="15"/>
      <c r="D133" s="26">
        <v>0.12</v>
      </c>
      <c r="E133" s="58" t="s">
        <v>103</v>
      </c>
      <c r="F133" s="17">
        <v>0.12</v>
      </c>
      <c r="G133" s="28">
        <v>2210</v>
      </c>
      <c r="H133" s="32" t="str">
        <f t="shared" si="4"/>
        <v>Рукавички технічні № 100</v>
      </c>
      <c r="I133" s="20">
        <f t="shared" si="4"/>
        <v>0.12</v>
      </c>
      <c r="J133" s="29"/>
    </row>
    <row r="134" spans="1:10" ht="12.75" hidden="1">
      <c r="A134" s="89"/>
      <c r="B134" s="76"/>
      <c r="C134" s="15"/>
      <c r="D134" s="20">
        <v>0.02</v>
      </c>
      <c r="E134" s="58" t="s">
        <v>104</v>
      </c>
      <c r="F134" s="20">
        <v>0.02</v>
      </c>
      <c r="G134" s="28">
        <v>2220</v>
      </c>
      <c r="H134" s="32" t="str">
        <f t="shared" si="4"/>
        <v>Скарифікатор № 100 </v>
      </c>
      <c r="I134" s="20">
        <f t="shared" si="4"/>
        <v>0.02</v>
      </c>
      <c r="J134" s="33"/>
    </row>
    <row r="135" spans="1:10" ht="12.75" hidden="1">
      <c r="A135" s="89"/>
      <c r="B135" s="76"/>
      <c r="C135" s="15"/>
      <c r="D135" s="20">
        <v>0.17</v>
      </c>
      <c r="E135" s="58" t="s">
        <v>105</v>
      </c>
      <c r="F135" s="20">
        <v>0.17</v>
      </c>
      <c r="G135" s="28">
        <v>2220</v>
      </c>
      <c r="H135" s="32" t="str">
        <f t="shared" si="4"/>
        <v>Скарифікатор № 200</v>
      </c>
      <c r="I135" s="20">
        <f t="shared" si="4"/>
        <v>0.17</v>
      </c>
      <c r="J135" s="33"/>
    </row>
    <row r="136" spans="1:10" ht="12.75" hidden="1">
      <c r="A136" s="89"/>
      <c r="B136" s="76"/>
      <c r="C136" s="15"/>
      <c r="D136" s="26">
        <v>0.04</v>
      </c>
      <c r="E136" s="58" t="s">
        <v>106</v>
      </c>
      <c r="F136" s="17">
        <v>0.04</v>
      </c>
      <c r="G136" s="28">
        <v>2210</v>
      </c>
      <c r="H136" s="32" t="str">
        <f t="shared" si="4"/>
        <v>Стакан мірний</v>
      </c>
      <c r="I136" s="20">
        <f t="shared" si="4"/>
        <v>0.04</v>
      </c>
      <c r="J136" s="29"/>
    </row>
    <row r="137" spans="1:10" ht="12.75" hidden="1">
      <c r="A137" s="89"/>
      <c r="B137" s="76"/>
      <c r="C137" s="15"/>
      <c r="D137" s="20">
        <v>0.27688</v>
      </c>
      <c r="E137" s="55" t="s">
        <v>107</v>
      </c>
      <c r="F137" s="30">
        <v>0.27688</v>
      </c>
      <c r="G137" s="31">
        <v>2210</v>
      </c>
      <c r="H137" s="32" t="str">
        <f t="shared" si="4"/>
        <v>Стілець лікаря</v>
      </c>
      <c r="I137" s="30">
        <f t="shared" si="4"/>
        <v>0.27688</v>
      </c>
      <c r="J137" s="33"/>
    </row>
    <row r="138" spans="1:10" ht="12.75" hidden="1">
      <c r="A138" s="89"/>
      <c r="B138" s="76"/>
      <c r="C138" s="15"/>
      <c r="D138" s="26">
        <v>0.16</v>
      </c>
      <c r="E138" s="58" t="s">
        <v>108</v>
      </c>
      <c r="F138" s="17">
        <v>0.16</v>
      </c>
      <c r="G138" s="28">
        <v>2210</v>
      </c>
      <c r="H138" s="32" t="str">
        <f t="shared" si="4"/>
        <v>Тарілки одноразові</v>
      </c>
      <c r="I138" s="20">
        <f t="shared" si="4"/>
        <v>0.16</v>
      </c>
      <c r="J138" s="29"/>
    </row>
    <row r="139" spans="1:10" ht="12.75" hidden="1">
      <c r="A139" s="89"/>
      <c r="B139" s="76"/>
      <c r="C139" s="15"/>
      <c r="D139" s="26">
        <v>0.05</v>
      </c>
      <c r="E139" s="58" t="s">
        <v>109</v>
      </c>
      <c r="F139" s="17">
        <v>0.05</v>
      </c>
      <c r="G139" s="28">
        <v>2210</v>
      </c>
      <c r="H139" s="32" t="str">
        <f t="shared" si="4"/>
        <v>Чистячі  ароматизатор 250 мл</v>
      </c>
      <c r="I139" s="20">
        <f t="shared" si="4"/>
        <v>0.05</v>
      </c>
      <c r="J139" s="29"/>
    </row>
    <row r="140" spans="1:10" ht="25.5" hidden="1">
      <c r="A140" s="89"/>
      <c r="B140" s="76"/>
      <c r="C140" s="15"/>
      <c r="D140" s="26">
        <v>0.06</v>
      </c>
      <c r="E140" s="58" t="s">
        <v>110</v>
      </c>
      <c r="F140" s="17">
        <v>0.06</v>
      </c>
      <c r="G140" s="28">
        <v>2210</v>
      </c>
      <c r="H140" s="32" t="str">
        <f t="shared" si="4"/>
        <v>Чистячі для видалення запаху 100 мл</v>
      </c>
      <c r="I140" s="20">
        <f t="shared" si="4"/>
        <v>0.06</v>
      </c>
      <c r="J140" s="29"/>
    </row>
    <row r="141" spans="1:10" ht="12.75" hidden="1">
      <c r="A141" s="89"/>
      <c r="B141" s="76"/>
      <c r="C141" s="15"/>
      <c r="D141" s="26">
        <v>0.01</v>
      </c>
      <c r="E141" s="58" t="s">
        <v>111</v>
      </c>
      <c r="F141" s="17">
        <v>0.01</v>
      </c>
      <c r="G141" s="28">
        <v>2210</v>
      </c>
      <c r="H141" s="32" t="str">
        <f t="shared" si="4"/>
        <v>Чистячій засiб</v>
      </c>
      <c r="I141" s="20">
        <f t="shared" si="4"/>
        <v>0.01</v>
      </c>
      <c r="J141" s="29"/>
    </row>
    <row r="142" spans="1:10" ht="12.75" hidden="1">
      <c r="A142" s="89"/>
      <c r="B142" s="76"/>
      <c r="C142" s="15"/>
      <c r="D142" s="20">
        <v>0.64</v>
      </c>
      <c r="E142" s="36" t="s">
        <v>112</v>
      </c>
      <c r="F142" s="37">
        <v>0.64</v>
      </c>
      <c r="G142" s="31">
        <v>2210</v>
      </c>
      <c r="H142" s="32" t="str">
        <f t="shared" si="4"/>
        <v>Шафа велика дерев'яна біла</v>
      </c>
      <c r="I142" s="37">
        <f t="shared" si="4"/>
        <v>0.64</v>
      </c>
      <c r="J142" s="33"/>
    </row>
    <row r="143" spans="1:10" ht="12.75" hidden="1">
      <c r="A143" s="89"/>
      <c r="B143" s="77"/>
      <c r="C143" s="15"/>
      <c r="D143" s="20">
        <v>0.16</v>
      </c>
      <c r="E143" s="58" t="s">
        <v>113</v>
      </c>
      <c r="F143" s="17">
        <v>0.16</v>
      </c>
      <c r="G143" s="28">
        <v>2210</v>
      </c>
      <c r="H143" s="32" t="str">
        <f t="shared" si="4"/>
        <v>Щітка для прибирання</v>
      </c>
      <c r="I143" s="20">
        <f t="shared" si="4"/>
        <v>0.16</v>
      </c>
      <c r="J143" s="33"/>
    </row>
    <row r="144" spans="1:10" ht="12.75" hidden="1">
      <c r="A144" s="89"/>
      <c r="B144" s="84" t="s">
        <v>114</v>
      </c>
      <c r="C144" s="15"/>
      <c r="D144" s="20">
        <v>0.01</v>
      </c>
      <c r="E144" s="57" t="s">
        <v>115</v>
      </c>
      <c r="F144" s="17">
        <v>0.01</v>
      </c>
      <c r="G144" s="18">
        <v>2220</v>
      </c>
      <c r="H144" s="19" t="str">
        <f t="shared" si="4"/>
        <v>Корсет для хребта</v>
      </c>
      <c r="I144" s="20">
        <f t="shared" si="4"/>
        <v>0.01</v>
      </c>
      <c r="J144" s="33"/>
    </row>
    <row r="145" spans="1:10" ht="12.75" hidden="1">
      <c r="A145" s="89"/>
      <c r="B145" s="85"/>
      <c r="C145" s="15"/>
      <c r="D145" s="20">
        <v>0.3</v>
      </c>
      <c r="E145" s="55" t="s">
        <v>116</v>
      </c>
      <c r="F145" s="17">
        <v>0.3</v>
      </c>
      <c r="G145" s="18">
        <v>2210</v>
      </c>
      <c r="H145" s="19" t="str">
        <f t="shared" si="4"/>
        <v>Шафа</v>
      </c>
      <c r="I145" s="20">
        <f t="shared" si="4"/>
        <v>0.3</v>
      </c>
      <c r="J145" s="33"/>
    </row>
    <row r="146" spans="1:10" ht="12.75" hidden="1">
      <c r="A146" s="89"/>
      <c r="B146" s="85"/>
      <c r="C146" s="15"/>
      <c r="D146" s="20">
        <v>0.4</v>
      </c>
      <c r="E146" s="55" t="s">
        <v>68</v>
      </c>
      <c r="F146" s="17">
        <v>0.4</v>
      </c>
      <c r="G146" s="18">
        <v>2210</v>
      </c>
      <c r="H146" s="19" t="str">
        <f t="shared" si="4"/>
        <v>Тумбочка</v>
      </c>
      <c r="I146" s="20">
        <f t="shared" si="4"/>
        <v>0.4</v>
      </c>
      <c r="J146" s="33"/>
    </row>
    <row r="147" spans="1:10" ht="12.75" hidden="1">
      <c r="A147" s="89"/>
      <c r="B147" s="85"/>
      <c r="C147" s="15"/>
      <c r="D147" s="20">
        <v>3.72</v>
      </c>
      <c r="E147" s="55" t="s">
        <v>117</v>
      </c>
      <c r="F147" s="17">
        <v>3.72</v>
      </c>
      <c r="G147" s="18">
        <v>2210</v>
      </c>
      <c r="H147" s="19" t="str">
        <f t="shared" si="4"/>
        <v>Ліжко багатофункцiйне</v>
      </c>
      <c r="I147" s="20">
        <f t="shared" si="4"/>
        <v>3.72</v>
      </c>
      <c r="J147" s="33"/>
    </row>
    <row r="148" spans="1:10" ht="12.75" hidden="1">
      <c r="A148" s="89"/>
      <c r="B148" s="85"/>
      <c r="C148" s="15"/>
      <c r="D148" s="20">
        <v>1.6</v>
      </c>
      <c r="E148" s="55" t="s">
        <v>118</v>
      </c>
      <c r="F148" s="17">
        <v>1.6</v>
      </c>
      <c r="G148" s="18">
        <v>2210</v>
      </c>
      <c r="H148" s="19" t="str">
        <f t="shared" si="4"/>
        <v>Стіл</v>
      </c>
      <c r="I148" s="20">
        <f t="shared" si="4"/>
        <v>1.6</v>
      </c>
      <c r="J148" s="33"/>
    </row>
    <row r="149" spans="1:10" ht="12.75" hidden="1">
      <c r="A149" s="89"/>
      <c r="B149" s="85"/>
      <c r="C149" s="15"/>
      <c r="D149" s="20">
        <v>0.9</v>
      </c>
      <c r="E149" s="55" t="s">
        <v>119</v>
      </c>
      <c r="F149" s="17">
        <v>0.9</v>
      </c>
      <c r="G149" s="18">
        <v>2210</v>
      </c>
      <c r="H149" s="19" t="str">
        <f t="shared" si="4"/>
        <v>Інвалiдний вiзок </v>
      </c>
      <c r="I149" s="20">
        <f t="shared" si="4"/>
        <v>0.9</v>
      </c>
      <c r="J149" s="33"/>
    </row>
    <row r="150" spans="1:10" ht="12.75" hidden="1">
      <c r="A150" s="89"/>
      <c r="B150" s="85"/>
      <c r="C150" s="15"/>
      <c r="D150" s="20">
        <v>0.06</v>
      </c>
      <c r="E150" s="55" t="s">
        <v>61</v>
      </c>
      <c r="F150" s="17">
        <v>0.06</v>
      </c>
      <c r="G150" s="18">
        <v>2210</v>
      </c>
      <c r="H150" s="19" t="str">
        <f t="shared" si="4"/>
        <v>Стілець</v>
      </c>
      <c r="I150" s="20">
        <f t="shared" si="4"/>
        <v>0.06</v>
      </c>
      <c r="J150" s="33"/>
    </row>
    <row r="151" spans="1:10" ht="12.75" hidden="1">
      <c r="A151" s="89"/>
      <c r="B151" s="85"/>
      <c r="C151" s="15"/>
      <c r="D151" s="35">
        <v>0.4</v>
      </c>
      <c r="E151" s="55" t="s">
        <v>120</v>
      </c>
      <c r="F151" s="17">
        <v>0.4</v>
      </c>
      <c r="G151" s="18">
        <v>2210</v>
      </c>
      <c r="H151" s="19" t="str">
        <f aca="true" t="shared" si="5" ref="H151:I160">E151</f>
        <v>Матрац великий</v>
      </c>
      <c r="I151" s="20">
        <f t="shared" si="5"/>
        <v>0.4</v>
      </c>
      <c r="J151" s="15"/>
    </row>
    <row r="152" spans="1:10" ht="12.75" hidden="1">
      <c r="A152" s="89"/>
      <c r="B152" s="85"/>
      <c r="C152" s="15"/>
      <c r="D152" s="20">
        <v>0.05</v>
      </c>
      <c r="E152" s="55" t="s">
        <v>121</v>
      </c>
      <c r="F152" s="17">
        <v>0.05</v>
      </c>
      <c r="G152" s="38">
        <v>2210</v>
      </c>
      <c r="H152" s="19" t="str">
        <f t="shared" si="5"/>
        <v>Фартук просвиньований</v>
      </c>
      <c r="I152" s="20">
        <f t="shared" si="5"/>
        <v>0.05</v>
      </c>
      <c r="J152" s="15"/>
    </row>
    <row r="153" spans="1:10" ht="12.75" hidden="1">
      <c r="A153" s="89"/>
      <c r="B153" s="85"/>
      <c r="C153" s="15"/>
      <c r="D153" s="20">
        <v>0.38</v>
      </c>
      <c r="E153" s="55" t="s">
        <v>51</v>
      </c>
      <c r="F153" s="17">
        <v>0.38</v>
      </c>
      <c r="G153" s="38">
        <v>2210</v>
      </c>
      <c r="H153" s="19" t="str">
        <f t="shared" si="5"/>
        <v>Покривало</v>
      </c>
      <c r="I153" s="20">
        <f t="shared" si="5"/>
        <v>0.38</v>
      </c>
      <c r="J153" s="15"/>
    </row>
    <row r="154" spans="1:10" ht="12.75" hidden="1">
      <c r="A154" s="89"/>
      <c r="B154" s="85"/>
      <c r="C154" s="15"/>
      <c r="D154" s="35">
        <v>0.24</v>
      </c>
      <c r="E154" s="55" t="s">
        <v>122</v>
      </c>
      <c r="F154" s="35">
        <v>0.24</v>
      </c>
      <c r="G154" s="38">
        <v>2210</v>
      </c>
      <c r="H154" s="19" t="str">
        <f t="shared" si="5"/>
        <v>Штани</v>
      </c>
      <c r="I154" s="20">
        <f t="shared" si="5"/>
        <v>0.24</v>
      </c>
      <c r="J154" s="15"/>
    </row>
    <row r="155" spans="1:10" ht="12.75" hidden="1">
      <c r="A155" s="89"/>
      <c r="B155" s="86" t="s">
        <v>123</v>
      </c>
      <c r="C155" s="15"/>
      <c r="D155" s="35">
        <v>43.5</v>
      </c>
      <c r="E155" s="55" t="s">
        <v>124</v>
      </c>
      <c r="F155" s="20">
        <v>43.5</v>
      </c>
      <c r="G155" s="38">
        <v>3110</v>
      </c>
      <c r="H155" s="19" t="str">
        <f t="shared" si="5"/>
        <v>Пульсоксиметр Rad 8</v>
      </c>
      <c r="I155" s="20">
        <f t="shared" si="5"/>
        <v>43.5</v>
      </c>
      <c r="J155" s="15"/>
    </row>
    <row r="156" spans="1:10" ht="25.5" hidden="1">
      <c r="A156" s="89"/>
      <c r="B156" s="86"/>
      <c r="C156" s="15"/>
      <c r="D156" s="35">
        <v>77.51</v>
      </c>
      <c r="E156" s="57" t="s">
        <v>125</v>
      </c>
      <c r="F156" s="20">
        <v>77.51</v>
      </c>
      <c r="G156" s="38">
        <v>3110</v>
      </c>
      <c r="H156" s="15" t="str">
        <f t="shared" si="5"/>
        <v>Насос шприцевий  інфузійний SEP-21S Plus</v>
      </c>
      <c r="I156" s="20">
        <f t="shared" si="5"/>
        <v>77.51</v>
      </c>
      <c r="J156" s="15"/>
    </row>
    <row r="157" spans="1:10" ht="12.75" hidden="1">
      <c r="A157" s="89"/>
      <c r="B157" s="84" t="s">
        <v>126</v>
      </c>
      <c r="C157" s="39"/>
      <c r="D157" s="20">
        <v>0.36</v>
      </c>
      <c r="E157" s="2" t="s">
        <v>127</v>
      </c>
      <c r="F157" s="20">
        <v>0.36</v>
      </c>
      <c r="G157" s="38">
        <v>2210</v>
      </c>
      <c r="H157" s="19" t="str">
        <f t="shared" si="5"/>
        <v>Підгузки (3-6 кг) 44 шт</v>
      </c>
      <c r="I157" s="20">
        <f t="shared" si="5"/>
        <v>0.36</v>
      </c>
      <c r="J157" s="39"/>
    </row>
    <row r="158" spans="1:10" ht="12.75" hidden="1">
      <c r="A158" s="89"/>
      <c r="B158" s="85"/>
      <c r="C158" s="39"/>
      <c r="D158" s="20">
        <v>0.34</v>
      </c>
      <c r="E158" s="57" t="s">
        <v>128</v>
      </c>
      <c r="F158" s="35">
        <v>0.34</v>
      </c>
      <c r="G158" s="38">
        <v>2210</v>
      </c>
      <c r="H158" s="19" t="str">
        <f t="shared" si="5"/>
        <v>Пелюшки гігієнічні №30   </v>
      </c>
      <c r="I158" s="20">
        <f t="shared" si="5"/>
        <v>0.34</v>
      </c>
      <c r="J158" s="39"/>
    </row>
    <row r="159" spans="1:10" ht="12.75" hidden="1">
      <c r="A159" s="89"/>
      <c r="B159" s="85"/>
      <c r="C159" s="39"/>
      <c r="D159" s="20">
        <v>0.48</v>
      </c>
      <c r="E159" s="57" t="s">
        <v>129</v>
      </c>
      <c r="F159" s="35">
        <v>0.48</v>
      </c>
      <c r="G159" s="38">
        <v>2210</v>
      </c>
      <c r="H159" s="19" t="str">
        <f t="shared" si="5"/>
        <v>Підгузки дитячі (15+кг)  №54</v>
      </c>
      <c r="I159" s="20">
        <f t="shared" si="5"/>
        <v>0.48</v>
      </c>
      <c r="J159" s="39"/>
    </row>
    <row r="160" spans="1:10" ht="12.75" hidden="1">
      <c r="A160" s="89"/>
      <c r="B160" s="87"/>
      <c r="C160" s="39"/>
      <c r="D160" s="35">
        <v>0.37</v>
      </c>
      <c r="E160" s="57" t="s">
        <v>130</v>
      </c>
      <c r="F160" s="35">
        <v>0.37</v>
      </c>
      <c r="G160" s="38">
        <v>2210</v>
      </c>
      <c r="H160" s="19" t="str">
        <f t="shared" si="5"/>
        <v>Підгузки (0-2 кг) № 46</v>
      </c>
      <c r="I160" s="20">
        <f t="shared" si="5"/>
        <v>0.37</v>
      </c>
      <c r="J160" s="39"/>
    </row>
    <row r="161" spans="1:10" ht="15.75" hidden="1">
      <c r="A161" s="89"/>
      <c r="B161" s="13" t="s">
        <v>131</v>
      </c>
      <c r="C161" s="39"/>
      <c r="D161" s="8">
        <f>SUM(D55:D160)</f>
        <v>716.5735199999996</v>
      </c>
      <c r="E161" s="40"/>
      <c r="F161" s="8">
        <f>SUM(F55:F160)</f>
        <v>716.5735199999996</v>
      </c>
      <c r="G161" s="40"/>
      <c r="H161" s="40"/>
      <c r="I161" s="8">
        <f>SUM(I55:I160)</f>
        <v>716.5735199999996</v>
      </c>
      <c r="J161" s="41"/>
    </row>
    <row r="162" spans="1:10" ht="31.5" hidden="1">
      <c r="A162" s="89"/>
      <c r="B162" s="13" t="s">
        <v>21</v>
      </c>
      <c r="C162" s="19"/>
      <c r="D162" s="48">
        <f>D161+D54+D52</f>
        <v>1036.6702899999996</v>
      </c>
      <c r="E162" s="19"/>
      <c r="F162" s="48">
        <f>F161+F52+F53</f>
        <v>1036.6702899999996</v>
      </c>
      <c r="G162" s="19"/>
      <c r="H162" s="19"/>
      <c r="I162" s="48">
        <f>I161+I54+I52</f>
        <v>849.9850999999996</v>
      </c>
      <c r="J162" s="50">
        <f>J161+J54+J52</f>
        <v>186.68519</v>
      </c>
    </row>
    <row r="163" spans="2:10" ht="38.25">
      <c r="B163" s="66" t="s">
        <v>177</v>
      </c>
      <c r="C163" s="19"/>
      <c r="D163" s="37">
        <v>0.34</v>
      </c>
      <c r="E163" s="64" t="s">
        <v>179</v>
      </c>
      <c r="F163" s="64">
        <f>340/1000</f>
        <v>0.34</v>
      </c>
      <c r="G163" s="19"/>
      <c r="H163" s="64" t="s">
        <v>179</v>
      </c>
      <c r="I163" s="30">
        <v>0.34</v>
      </c>
      <c r="J163" s="30">
        <v>0</v>
      </c>
    </row>
    <row r="164" spans="2:10" ht="25.5">
      <c r="B164" s="66" t="s">
        <v>180</v>
      </c>
      <c r="C164" s="19"/>
      <c r="D164" s="37">
        <v>12.402</v>
      </c>
      <c r="E164" s="64" t="s">
        <v>181</v>
      </c>
      <c r="F164" s="37">
        <f>12402/1000</f>
        <v>12.402</v>
      </c>
      <c r="G164" s="19"/>
      <c r="H164" s="64" t="s">
        <v>181</v>
      </c>
      <c r="I164" s="30">
        <f>3353.22/1000</f>
        <v>3.35322</v>
      </c>
      <c r="J164" s="60">
        <f>9048.78/1000</f>
        <v>9.04878</v>
      </c>
    </row>
    <row r="165" spans="2:10" ht="15.75">
      <c r="B165" s="13" t="s">
        <v>131</v>
      </c>
      <c r="C165" s="19"/>
      <c r="D165" s="65">
        <f>SUM(D163:D164)</f>
        <v>12.741999999999999</v>
      </c>
      <c r="E165" s="19"/>
      <c r="F165" s="65">
        <f>SUM(F163:F164)</f>
        <v>12.741999999999999</v>
      </c>
      <c r="G165" s="19"/>
      <c r="H165" s="19"/>
      <c r="I165" s="48">
        <f>SUM(I163:I164)</f>
        <v>3.6932199999999997</v>
      </c>
      <c r="J165" s="101">
        <f>SUM(J163:J164)</f>
        <v>9.04878</v>
      </c>
    </row>
  </sheetData>
  <sheetProtection/>
  <mergeCells count="25">
    <mergeCell ref="B144:B154"/>
    <mergeCell ref="J7:J8"/>
    <mergeCell ref="B155:B156"/>
    <mergeCell ref="B157:B160"/>
    <mergeCell ref="A53:A162"/>
    <mergeCell ref="B22:B23"/>
    <mergeCell ref="F7:F8"/>
    <mergeCell ref="B7:B8"/>
    <mergeCell ref="A7:A8"/>
    <mergeCell ref="A9:A52"/>
    <mergeCell ref="C7:E7"/>
    <mergeCell ref="B9:B21"/>
    <mergeCell ref="I1:J1"/>
    <mergeCell ref="I2:J2"/>
    <mergeCell ref="C4:H4"/>
    <mergeCell ref="E3:F3"/>
    <mergeCell ref="C5:H5"/>
    <mergeCell ref="G7:I7"/>
    <mergeCell ref="B104:B143"/>
    <mergeCell ref="B33:B36"/>
    <mergeCell ref="B27:B32"/>
    <mergeCell ref="B37:B45"/>
    <mergeCell ref="B47:B48"/>
    <mergeCell ref="B50:B51"/>
    <mergeCell ref="B24:B26"/>
  </mergeCells>
  <printOptions/>
  <pageMargins left="0" right="0" top="0.1968503937007874" bottom="0.7874015748031497" header="0.31496062992125984" footer="0.5118110236220472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СОДКБ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Sumy</cp:lastModifiedBy>
  <cp:lastPrinted>2020-10-12T10:19:01Z</cp:lastPrinted>
  <dcterms:created xsi:type="dcterms:W3CDTF">2018-02-14T07:28:55Z</dcterms:created>
  <dcterms:modified xsi:type="dcterms:W3CDTF">2020-10-12T10:21:42Z</dcterms:modified>
  <cp:category/>
  <cp:version/>
  <cp:contentType/>
  <cp:contentStatus/>
</cp:coreProperties>
</file>